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railplus-my.sharepoint.com/personal/fabienne_buser_railplus_ch/Documents/Documents/Site internet/Systemführerschaft/Erkenntnisse aus den Projekten/"/>
    </mc:Choice>
  </mc:AlternateContent>
  <xr:revisionPtr revIDLastSave="0" documentId="8_{5DD966CA-F27D-4E0F-B220-8B808A695783}" xr6:coauthVersionLast="47" xr6:coauthVersionMax="47" xr10:uidLastSave="{00000000-0000-0000-0000-000000000000}"/>
  <bookViews>
    <workbookView xWindow="3420" yWindow="3420" windowWidth="28800" windowHeight="15370" tabRatio="788" firstSheet="1" activeTab="1" xr2:uid="{9FECA542-66B1-45A3-989D-98F33472D650}"/>
  </bookViews>
  <sheets>
    <sheet name="Schotteroberbau_L" sheetId="1" state="hidden" r:id="rId1"/>
    <sheet name="Schotteroberbau" sheetId="4" r:id="rId2"/>
    <sheet name="Feste Fahrbahn" sheetId="16" r:id="rId3"/>
    <sheet name="Komponenten" sheetId="2" state="hidden" r:id="rId4"/>
    <sheet name="Odemark - ja " sheetId="17" r:id="rId5"/>
    <sheet name="Odemark - nein" sheetId="18" r:id="rId6"/>
  </sheets>
  <externalReferences>
    <externalReference r:id="rId7"/>
  </externalReferences>
  <definedNames>
    <definedName name="_xlnm._FilterDatabase" localSheetId="2" hidden="1">'Feste Fahrbahn'!$A$9:$E$27</definedName>
    <definedName name="a">Schotteroberbau_L!$C$23</definedName>
    <definedName name="a.hochuli_aebo.ch">[1]Titelblatt!$E$14</definedName>
    <definedName name="a_2">Schotteroberbau!$C$25</definedName>
    <definedName name="A_Besohlung">Schotteroberbau_L!$I$10</definedName>
    <definedName name="A_Besohlung_2">Schotteroberbau!$I$11</definedName>
    <definedName name="A_Schotter">Schotteroberbau_L!$I$14</definedName>
    <definedName name="A_Schotter_2">Schotteroberbau!$I$15</definedName>
    <definedName name="Achsabstand_1_2">Schotteroberbau_L!$E$8</definedName>
    <definedName name="Achsabstand_2_3">Schotteroberbau_L!$E$9</definedName>
    <definedName name="Achsabstand_3_4">Schotteroberbau_L!$E$10</definedName>
    <definedName name="Achslast_1">Schotteroberbau_L!$C$7</definedName>
    <definedName name="Achslast_1_2">Schotteroberbau!$C$9</definedName>
    <definedName name="Achslast_1F">#REF!</definedName>
    <definedName name="Achslast_2">Schotteroberbau_L!$C$8</definedName>
    <definedName name="Achslast_2_2">Schotteroberbau!$C$10</definedName>
    <definedName name="Achslast_2F">#REF!</definedName>
    <definedName name="Achslast_3">Schotteroberbau_L!$C$9</definedName>
    <definedName name="Achslast_3_2">Schotteroberbau!#REF!</definedName>
    <definedName name="Achslast_3F">#REF!</definedName>
    <definedName name="Achslast_4">Schotteroberbau_L!$C$10</definedName>
    <definedName name="Achslast_4_2">Schotteroberbau!#REF!</definedName>
    <definedName name="Achslast_4F">#REF!</definedName>
    <definedName name="aF">#REF!</definedName>
    <definedName name="aLast">Schotteroberbau_L!$I$17</definedName>
    <definedName name="aLast_2">Schotteroberbau!$I$18</definedName>
    <definedName name="ASchwelle">Schotteroberbau_L!$C$21</definedName>
    <definedName name="ASchwelle_2">Schotteroberbau!$C$23</definedName>
    <definedName name="AUntergrund">Schotteroberbau_L!$I$24</definedName>
    <definedName name="AUntergrund_2">Schotteroberbau!$I$27</definedName>
    <definedName name="Ausgabedatum_Titelblatt">[1]Titelblatt!$C$20</definedName>
    <definedName name="AUSM">Schotteroberbau_L!$I$20</definedName>
    <definedName name="AUSM_2">Schotteroberbau!$I$22</definedName>
    <definedName name="BSchw_block">#REF!</definedName>
    <definedName name="BSchwelle">Schotteroberbau_L!$C$19</definedName>
    <definedName name="BSchwelle_2">Schotteroberbau!$C$21</definedName>
    <definedName name="c_Besohlung">Schotteroberbau_L!$I$9</definedName>
    <definedName name="c_Besohlung_2">Schotteroberbau!$I$10</definedName>
    <definedName name="condition">#REF!</definedName>
    <definedName name="condition1">#REF!</definedName>
    <definedName name="condition2">#REF!</definedName>
    <definedName name="cSchotter">Schotteroberbau_L!$I$13</definedName>
    <definedName name="cSchotter_2">Schotteroberbau!$I$14</definedName>
    <definedName name="cUntergrund">Schotteroberbau_L!$I$23</definedName>
    <definedName name="cUntergrund_2">Schotteroberbau!$I$26</definedName>
    <definedName name="cUSM">Schotteroberbau_L!$I$19</definedName>
    <definedName name="cUSM_2">Schotteroberbau!$I$21</definedName>
    <definedName name="d_Schotter">Schotteroberbau_L!$I$16</definedName>
    <definedName name="d_Schotter_2">Schotteroberbau!$I$17</definedName>
    <definedName name="_xlnm.Print_Area" localSheetId="1">Schotteroberbau!$A$1:$L$165</definedName>
    <definedName name="_xlnm.Print_Area" localSheetId="0">Schotteroberbau_L!$A$1:$K$147</definedName>
    <definedName name="Dx">Schotteroberbau_L!$D$35</definedName>
    <definedName name="DxF">#REF!</definedName>
    <definedName name="ESchiene">Schotteroberbau_L!$C$13</definedName>
    <definedName name="ESchiene_1">Schotteroberbau!$C$13</definedName>
    <definedName name="ESchiene_2">Schotteroberbau!$C$13</definedName>
    <definedName name="EschieneF">#REF!</definedName>
    <definedName name="Faktor_Oberbauzustand">Schotteroberbau_L!$D$124</definedName>
    <definedName name="Faktor_Oberbauzustand_2">Schotteroberbau!$D$124</definedName>
    <definedName name="Faktor_OberbauzustandF">#REF!</definedName>
    <definedName name="Faktor_Radkraftverlagerung">Schotteroberbau_L!$D$123</definedName>
    <definedName name="Faktor_Radkraftverlagerung_2">Schotteroberbau!$D$123</definedName>
    <definedName name="Faktor_RadkraftverlagerungF">#REF!</definedName>
    <definedName name="fGüterzüge">Schotteroberbau_L!$D$121</definedName>
    <definedName name="fGüterzüge_2">Schotteroberbau!$D$121</definedName>
    <definedName name="fGüterzügeF">#REF!</definedName>
    <definedName name="fPersonenzüge">Schotteroberbau_L!$D$120</definedName>
    <definedName name="fPersonenzüge_2">Schotteroberbau!$D$120</definedName>
    <definedName name="fReisezügeF">#REF!</definedName>
    <definedName name="ISchiene">Schotteroberbau_L!$C$14</definedName>
    <definedName name="ISchiene_1">Schotteroberbau!$C$14</definedName>
    <definedName name="ISchiene_2">Schotteroberbau!$C$14</definedName>
    <definedName name="ISchieneF">#REF!</definedName>
    <definedName name="k_zw">Schotteroberbau_L!$I$7</definedName>
    <definedName name="k_zw_2">Schotteroberbau!$I$7</definedName>
    <definedName name="k_zw2">Schotteroberbau!$I$7</definedName>
    <definedName name="k_zwF">#REF!</definedName>
    <definedName name="kBesohlung">Schotteroberbau_L!$I$11</definedName>
    <definedName name="kBesohlung_2">Schotteroberbau!$I$12</definedName>
    <definedName name="kd">Schotteroberbau_L!$B$81</definedName>
    <definedName name="kd_2">Schotteroberbau!$B$82</definedName>
    <definedName name="kdF">#REF!</definedName>
    <definedName name="kEinlage_Gummischuh">#REF!</definedName>
    <definedName name="kGummischuh">#REF!</definedName>
    <definedName name="kq">Schotteroberbau_L!$B$79</definedName>
    <definedName name="kq_2">Schotteroberbau!$B$80</definedName>
    <definedName name="kqF">#REF!</definedName>
    <definedName name="kSchotter">Schotteroberbau_L!$I$15</definedName>
    <definedName name="kSchotter_2">Schotteroberbau!$I$16</definedName>
    <definedName name="ktot">Schotteroberbau_L!$I$27</definedName>
    <definedName name="ktot_2">Schotteroberbau!$I$30</definedName>
    <definedName name="ktotF">#REF!</definedName>
    <definedName name="kUntergrund">Schotteroberbau_L!$I$25</definedName>
    <definedName name="kUntergrund_2">Schotteroberbau!$I$28</definedName>
    <definedName name="kUSM">Schotteroberbau_L!$I$21</definedName>
    <definedName name="kUSM_2">Schotteroberbau!$I$23</definedName>
    <definedName name="Lelastisch">Schotteroberbau_L!$I$29</definedName>
    <definedName name="Lelastisch_1">Schotteroberbau!$I$31</definedName>
    <definedName name="Lelastisch_2">Schotteroberbau!$I$31</definedName>
    <definedName name="LelastischF">#REF!</definedName>
    <definedName name="LFahrzeug">Schotteroberbau_L!$D$29</definedName>
    <definedName name="LFahrzeugF">#REF!</definedName>
    <definedName name="LFrei">Schotteroberbau_L!$C$20</definedName>
    <definedName name="LFrei_2">Schotteroberbau!$C$22</definedName>
    <definedName name="linkeSeite">#REF!</definedName>
    <definedName name="linkeSeite12">#REF!</definedName>
    <definedName name="Lizenzehmer">[1]Titelblatt!$B$22</definedName>
    <definedName name="Lizenznehmer_Name">[1]Titelblatt!$C$22</definedName>
    <definedName name="LSchiene">Schotteroberbau_L!$D$28</definedName>
    <definedName name="LSchieneF">#REF!</definedName>
    <definedName name="LSchw_block">#REF!</definedName>
    <definedName name="LSchwelle">Schotteroberbau_L!$C$18</definedName>
    <definedName name="LSchwelle_2">Schotteroberbau!$C$20</definedName>
    <definedName name="maximale_Einsenkung" localSheetId="1">Schotteroberbau!$B$56</definedName>
    <definedName name="maximale_Einsenkung" localSheetId="0">Schotteroberbau_L!$B$55</definedName>
    <definedName name="maximale_Einsenkung_2">Schotteroberbau!$B$56</definedName>
    <definedName name="Maximales_Biegemoment__charakteristisch">Schotteroberbau_L!$B$129</definedName>
    <definedName name="Maximales_Biegemoment__charakteristisch_2">Schotteroberbau!$B$138</definedName>
    <definedName name="maxStützpunktkraft">Schotteroberbau_L!$V$8</definedName>
    <definedName name="maxStützpunktkraft_2">Schotteroberbau!$V$8</definedName>
    <definedName name="mittlereEinsenkung">#REF!</definedName>
    <definedName name="mittlereEinsenkung12">#REF!</definedName>
    <definedName name="rechteSeite">#REF!</definedName>
    <definedName name="rechteSeite12">#REF!</definedName>
    <definedName name="schritt">#REF!</definedName>
    <definedName name="sD._DmaxsDmax_zul_Wenty_SchoF">Schotteroberbau!$D$117</definedName>
    <definedName name="sDmax_Güter_Wenty_SchoF">Schotteroberbau!$D$116</definedName>
    <definedName name="sDmax_Pers_Wenty_SchoF">Schotteroberbau!$D$115</definedName>
    <definedName name="sDzul.max_SchoF">Schotteroberbau!$J$44</definedName>
    <definedName name="Sicherheit_ABEBV_Wenty_SchoF">Schotteroberbau!$C$118</definedName>
    <definedName name="Sicherheitsfaktor_AB_EBV_2020_SchoF">Schotteroberbau!$H$37</definedName>
    <definedName name="Version_Titelblatt">[1]Titelblatt!$B$18</definedName>
    <definedName name="Version_Tittelblatt_Nr">[1]Titelblatt!$C$18</definedName>
    <definedName name="VGüterzüge">Schotteroberbau_L!$D$117</definedName>
    <definedName name="Vgüterzüge_2">Schotteroberbau!$D$118</definedName>
    <definedName name="VGüterzügeF">#REF!</definedName>
    <definedName name="VReisezüge">Schotteroberbau_L!$D$116</definedName>
    <definedName name="Vreisezüge_2">Schotteroberbau!$D$117</definedName>
    <definedName name="VReisezügeF">#REF!</definedName>
    <definedName name="WSchiene">Schotteroberbau_L!$C$15</definedName>
    <definedName name="WSchiene_1">Schotteroberbau!$C$15</definedName>
    <definedName name="WSchiene_2">Schotteroberbau!$C$15</definedName>
    <definedName name="WSchieneF">#REF!</definedName>
    <definedName name="x_1">Schotteroberbau_L!$D$30</definedName>
    <definedName name="x_2">Schotteroberbau_L!$D$31</definedName>
    <definedName name="x_3">Schotteroberbau_L!$D$32</definedName>
    <definedName name="x0">Schotteroberbau_L!$D$34</definedName>
    <definedName name="x0f">#REF!</definedName>
    <definedName name="x4_">Schotteroberbau_L!$D$33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4" l="1"/>
  <c r="M79" i="16"/>
  <c r="D134" i="4"/>
  <c r="D131" i="4"/>
  <c r="M80" i="16" l="1"/>
  <c r="M81" i="16" l="1"/>
  <c r="M82" i="16" l="1"/>
  <c r="M83" i="16" l="1"/>
  <c r="M84" i="16" l="1"/>
  <c r="M85" i="16" l="1"/>
  <c r="M86" i="16" l="1"/>
  <c r="M87" i="16" l="1"/>
  <c r="M88" i="16" l="1"/>
  <c r="M89" i="16" l="1"/>
  <c r="M90" i="16" l="1"/>
  <c r="M91" i="16" l="1"/>
  <c r="M92" i="16" l="1"/>
  <c r="M93" i="16" l="1"/>
  <c r="M94" i="16" l="1"/>
  <c r="M95" i="16" l="1"/>
  <c r="M96" i="16" l="1"/>
  <c r="M97" i="16" l="1"/>
  <c r="M98" i="16" l="1"/>
  <c r="M99" i="16" l="1"/>
  <c r="M100" i="16" l="1"/>
  <c r="M101" i="16" l="1"/>
  <c r="M102" i="16" l="1"/>
  <c r="M103" i="16" l="1"/>
  <c r="M104" i="16" l="1"/>
  <c r="M105" i="16" l="1"/>
  <c r="M106" i="16" l="1"/>
  <c r="M107" i="16" l="1"/>
  <c r="M108" i="16" l="1"/>
  <c r="M109" i="16" l="1"/>
  <c r="M110" i="16" l="1"/>
  <c r="M111" i="16" l="1"/>
  <c r="M112" i="16" l="1"/>
  <c r="M113" i="16" l="1"/>
  <c r="M114" i="16" l="1"/>
  <c r="M115" i="16" l="1"/>
  <c r="M116" i="16" l="1"/>
  <c r="M117" i="16" l="1"/>
  <c r="M118" i="16" l="1"/>
  <c r="M119" i="16" l="1"/>
  <c r="M120" i="16" l="1"/>
  <c r="M121" i="16" l="1"/>
  <c r="M122" i="16" l="1"/>
  <c r="M123" i="16" l="1"/>
  <c r="M124" i="16" l="1"/>
  <c r="M125" i="16" l="1"/>
  <c r="M126" i="16" l="1"/>
  <c r="M127" i="16" l="1"/>
  <c r="M128" i="16" l="1"/>
  <c r="M129" i="16" l="1"/>
  <c r="M130" i="16" l="1"/>
  <c r="M131" i="16" l="1"/>
  <c r="M132" i="16" l="1"/>
  <c r="M133" i="16" l="1"/>
  <c r="M134" i="16" l="1"/>
  <c r="M135" i="16" l="1"/>
  <c r="M136" i="16" l="1"/>
  <c r="M137" i="16" l="1"/>
  <c r="M138" i="16" l="1"/>
  <c r="M139" i="16" l="1"/>
  <c r="M140" i="16" l="1"/>
  <c r="M141" i="16" l="1"/>
  <c r="M142" i="16" l="1"/>
  <c r="M143" i="16" l="1"/>
  <c r="M144" i="16" l="1"/>
  <c r="M145" i="16" l="1"/>
  <c r="M146" i="16" l="1"/>
  <c r="M147" i="16" l="1"/>
  <c r="M148" i="16" l="1"/>
  <c r="M149" i="16" l="1"/>
  <c r="M150" i="16" l="1"/>
  <c r="M151" i="16" l="1"/>
  <c r="M152" i="16" l="1"/>
  <c r="M153" i="16" l="1"/>
  <c r="M154" i="16" l="1"/>
  <c r="M155" i="16" l="1"/>
  <c r="M156" i="16" l="1"/>
  <c r="M157" i="16" l="1"/>
  <c r="B29" i="17" l="1"/>
  <c r="G20" i="17"/>
  <c r="B30" i="17" s="1"/>
  <c r="I10" i="4"/>
  <c r="C25" i="16"/>
  <c r="I16" i="16"/>
  <c r="I15" i="16"/>
  <c r="I12" i="16"/>
  <c r="H26" i="2"/>
  <c r="H25" i="2"/>
  <c r="C23" i="16"/>
  <c r="F26" i="2"/>
  <c r="F25" i="2"/>
  <c r="C22" i="16"/>
  <c r="C21" i="16"/>
  <c r="B20" i="16"/>
  <c r="B19" i="16"/>
  <c r="H22" i="2"/>
  <c r="K26" i="2"/>
  <c r="K25" i="2"/>
  <c r="I22" i="16" l="1"/>
  <c r="D31" i="16" l="1"/>
  <c r="D32" i="16" s="1"/>
  <c r="D33" i="16" s="1"/>
  <c r="G62" i="16"/>
  <c r="B62" i="16"/>
  <c r="G61" i="16"/>
  <c r="B61" i="16"/>
  <c r="G60" i="16"/>
  <c r="G59" i="16"/>
  <c r="E53" i="16"/>
  <c r="B53" i="16"/>
  <c r="E52" i="16"/>
  <c r="B52" i="16"/>
  <c r="E51" i="16"/>
  <c r="B51" i="16"/>
  <c r="E50" i="16"/>
  <c r="B50" i="16"/>
  <c r="K25" i="16"/>
  <c r="E25" i="16"/>
  <c r="E19" i="16"/>
  <c r="C16" i="16"/>
  <c r="K15" i="16"/>
  <c r="C15" i="16"/>
  <c r="E14" i="16"/>
  <c r="C11" i="16"/>
  <c r="C10" i="16"/>
  <c r="M9" i="16"/>
  <c r="M10" i="16" s="1"/>
  <c r="K8" i="16"/>
  <c r="C20" i="4"/>
  <c r="I21" i="4"/>
  <c r="I24" i="16" l="1"/>
  <c r="N79" i="16" s="1"/>
  <c r="U79" i="16" s="1"/>
  <c r="N104" i="16"/>
  <c r="U104" i="16" s="1"/>
  <c r="N112" i="16"/>
  <c r="U112" i="16" s="1"/>
  <c r="N120" i="16"/>
  <c r="U120" i="16" s="1"/>
  <c r="N128" i="16"/>
  <c r="U128" i="16" s="1"/>
  <c r="N136" i="16"/>
  <c r="U136" i="16" s="1"/>
  <c r="N144" i="16"/>
  <c r="U144" i="16" s="1"/>
  <c r="N152" i="16"/>
  <c r="U152" i="16" s="1"/>
  <c r="K4" i="16"/>
  <c r="M11" i="16"/>
  <c r="C25" i="4"/>
  <c r="D22" i="2"/>
  <c r="F22" i="2" s="1"/>
  <c r="B19" i="4"/>
  <c r="B18" i="4"/>
  <c r="C21" i="4"/>
  <c r="K23" i="2"/>
  <c r="H23" i="2" s="1"/>
  <c r="K24" i="2"/>
  <c r="H24" i="2" s="1"/>
  <c r="K15" i="2"/>
  <c r="H15" i="2" s="1"/>
  <c r="K16" i="2"/>
  <c r="H16" i="2" s="1"/>
  <c r="K17" i="2"/>
  <c r="H17" i="2" s="1"/>
  <c r="K18" i="2"/>
  <c r="H18" i="2" s="1"/>
  <c r="K19" i="2"/>
  <c r="H19" i="2" s="1"/>
  <c r="K20" i="2"/>
  <c r="H20" i="2" s="1"/>
  <c r="K21" i="2"/>
  <c r="H21" i="2" s="1"/>
  <c r="K14" i="2"/>
  <c r="H14" i="2" s="1"/>
  <c r="K13" i="2"/>
  <c r="H13" i="2" s="1"/>
  <c r="N80" i="16" l="1"/>
  <c r="U80" i="16" s="1"/>
  <c r="N126" i="16"/>
  <c r="U126" i="16" s="1"/>
  <c r="N86" i="16"/>
  <c r="U86" i="16" s="1"/>
  <c r="N157" i="16"/>
  <c r="U157" i="16" s="1"/>
  <c r="N149" i="16"/>
  <c r="U149" i="16" s="1"/>
  <c r="N141" i="16"/>
  <c r="U141" i="16" s="1"/>
  <c r="N133" i="16"/>
  <c r="U133" i="16" s="1"/>
  <c r="N125" i="16"/>
  <c r="U125" i="16" s="1"/>
  <c r="N117" i="16"/>
  <c r="U117" i="16" s="1"/>
  <c r="N109" i="16"/>
  <c r="U109" i="16" s="1"/>
  <c r="N101" i="16"/>
  <c r="U101" i="16" s="1"/>
  <c r="N93" i="16"/>
  <c r="U93" i="16" s="1"/>
  <c r="N85" i="16"/>
  <c r="U85" i="16" s="1"/>
  <c r="N96" i="16"/>
  <c r="U96" i="16" s="1"/>
  <c r="N135" i="16"/>
  <c r="U135" i="16" s="1"/>
  <c r="N111" i="16"/>
  <c r="U111" i="16" s="1"/>
  <c r="N95" i="16"/>
  <c r="U95" i="16" s="1"/>
  <c r="N150" i="16"/>
  <c r="U150" i="16" s="1"/>
  <c r="N102" i="16"/>
  <c r="U102" i="16" s="1"/>
  <c r="N156" i="16"/>
  <c r="U156" i="16" s="1"/>
  <c r="N148" i="16"/>
  <c r="U148" i="16" s="1"/>
  <c r="N140" i="16"/>
  <c r="U140" i="16" s="1"/>
  <c r="N132" i="16"/>
  <c r="U132" i="16" s="1"/>
  <c r="N124" i="16"/>
  <c r="U124" i="16" s="1"/>
  <c r="N116" i="16"/>
  <c r="U116" i="16" s="1"/>
  <c r="N108" i="16"/>
  <c r="U108" i="16" s="1"/>
  <c r="N100" i="16"/>
  <c r="U100" i="16" s="1"/>
  <c r="N92" i="16"/>
  <c r="U92" i="16" s="1"/>
  <c r="N84" i="16"/>
  <c r="U84" i="16" s="1"/>
  <c r="N88" i="16"/>
  <c r="U88" i="16" s="1"/>
  <c r="N143" i="16"/>
  <c r="U143" i="16" s="1"/>
  <c r="N119" i="16"/>
  <c r="U119" i="16" s="1"/>
  <c r="N87" i="16"/>
  <c r="U87" i="16" s="1"/>
  <c r="N142" i="16"/>
  <c r="U142" i="16" s="1"/>
  <c r="N110" i="16"/>
  <c r="U110" i="16" s="1"/>
  <c r="N155" i="16"/>
  <c r="U155" i="16" s="1"/>
  <c r="N147" i="16"/>
  <c r="U147" i="16" s="1"/>
  <c r="N139" i="16"/>
  <c r="U139" i="16" s="1"/>
  <c r="N131" i="16"/>
  <c r="U131" i="16" s="1"/>
  <c r="N123" i="16"/>
  <c r="U123" i="16" s="1"/>
  <c r="N115" i="16"/>
  <c r="U115" i="16" s="1"/>
  <c r="N107" i="16"/>
  <c r="U107" i="16" s="1"/>
  <c r="N99" i="16"/>
  <c r="U99" i="16" s="1"/>
  <c r="N91" i="16"/>
  <c r="U91" i="16" s="1"/>
  <c r="N83" i="16"/>
  <c r="U83" i="16" s="1"/>
  <c r="N151" i="16"/>
  <c r="U151" i="16" s="1"/>
  <c r="N127" i="16"/>
  <c r="U127" i="16" s="1"/>
  <c r="N103" i="16"/>
  <c r="U103" i="16" s="1"/>
  <c r="N118" i="16"/>
  <c r="U118" i="16" s="1"/>
  <c r="N154" i="16"/>
  <c r="U154" i="16" s="1"/>
  <c r="N146" i="16"/>
  <c r="U146" i="16" s="1"/>
  <c r="N138" i="16"/>
  <c r="U138" i="16" s="1"/>
  <c r="N130" i="16"/>
  <c r="U130" i="16" s="1"/>
  <c r="N122" i="16"/>
  <c r="U122" i="16" s="1"/>
  <c r="N114" i="16"/>
  <c r="U114" i="16" s="1"/>
  <c r="N106" i="16"/>
  <c r="U106" i="16" s="1"/>
  <c r="N98" i="16"/>
  <c r="U98" i="16" s="1"/>
  <c r="N90" i="16"/>
  <c r="U90" i="16" s="1"/>
  <c r="N82" i="16"/>
  <c r="U82" i="16" s="1"/>
  <c r="N134" i="16"/>
  <c r="U134" i="16" s="1"/>
  <c r="N94" i="16"/>
  <c r="U94" i="16" s="1"/>
  <c r="N153" i="16"/>
  <c r="U153" i="16" s="1"/>
  <c r="N145" i="16"/>
  <c r="U145" i="16" s="1"/>
  <c r="N137" i="16"/>
  <c r="U137" i="16" s="1"/>
  <c r="N129" i="16"/>
  <c r="U129" i="16" s="1"/>
  <c r="N121" i="16"/>
  <c r="U121" i="16" s="1"/>
  <c r="N113" i="16"/>
  <c r="U113" i="16" s="1"/>
  <c r="N105" i="16"/>
  <c r="U105" i="16" s="1"/>
  <c r="N97" i="16"/>
  <c r="U97" i="16" s="1"/>
  <c r="N89" i="16"/>
  <c r="U89" i="16" s="1"/>
  <c r="N81" i="16"/>
  <c r="U81" i="16" s="1"/>
  <c r="O79" i="16"/>
  <c r="O80" i="16"/>
  <c r="O81" i="16"/>
  <c r="O82" i="16"/>
  <c r="O83" i="16"/>
  <c r="O84" i="16"/>
  <c r="O85" i="16"/>
  <c r="O86" i="16"/>
  <c r="O87" i="16"/>
  <c r="O88" i="16"/>
  <c r="O89" i="16"/>
  <c r="O90" i="16"/>
  <c r="O91" i="16"/>
  <c r="O92" i="16"/>
  <c r="O93" i="16"/>
  <c r="O94" i="16"/>
  <c r="O95" i="16"/>
  <c r="O96" i="16"/>
  <c r="O97" i="16"/>
  <c r="O98" i="16"/>
  <c r="O99" i="16"/>
  <c r="O100" i="16"/>
  <c r="O101" i="16"/>
  <c r="O102" i="16"/>
  <c r="O103" i="16"/>
  <c r="O104" i="16"/>
  <c r="O105" i="16"/>
  <c r="O106" i="16"/>
  <c r="O107" i="16"/>
  <c r="O108" i="16"/>
  <c r="O109" i="16"/>
  <c r="O110" i="16"/>
  <c r="O111" i="16"/>
  <c r="O112" i="16"/>
  <c r="O113" i="16"/>
  <c r="O114" i="16"/>
  <c r="O115" i="16"/>
  <c r="O116" i="16"/>
  <c r="O117" i="16"/>
  <c r="O118" i="16"/>
  <c r="O119" i="16"/>
  <c r="O120" i="16"/>
  <c r="O121" i="16"/>
  <c r="O122" i="16"/>
  <c r="O123" i="16"/>
  <c r="O124" i="16"/>
  <c r="O125" i="16"/>
  <c r="O126" i="16"/>
  <c r="O127" i="16"/>
  <c r="O128" i="16"/>
  <c r="O129" i="16"/>
  <c r="O130" i="16"/>
  <c r="O131" i="16"/>
  <c r="O132" i="16"/>
  <c r="O133" i="16"/>
  <c r="O134" i="16"/>
  <c r="O135" i="16"/>
  <c r="O136" i="16"/>
  <c r="O137" i="16"/>
  <c r="O138" i="16"/>
  <c r="O139" i="16"/>
  <c r="O140" i="16"/>
  <c r="O141" i="16"/>
  <c r="O142" i="16"/>
  <c r="O143" i="16"/>
  <c r="O144" i="16"/>
  <c r="O145" i="16"/>
  <c r="O146" i="16"/>
  <c r="O147" i="16"/>
  <c r="O148" i="16"/>
  <c r="O149" i="16"/>
  <c r="O150" i="16"/>
  <c r="O151" i="16"/>
  <c r="O152" i="16"/>
  <c r="O153" i="16"/>
  <c r="O154" i="16"/>
  <c r="O155" i="16"/>
  <c r="O156" i="16"/>
  <c r="O157" i="16"/>
  <c r="C22" i="4"/>
  <c r="M12" i="16"/>
  <c r="C23" i="4"/>
  <c r="R142" i="16" l="1"/>
  <c r="Q142" i="16"/>
  <c r="Q102" i="16"/>
  <c r="R102" i="16"/>
  <c r="R157" i="16"/>
  <c r="Q157" i="16"/>
  <c r="Q149" i="16"/>
  <c r="R149" i="16"/>
  <c r="R141" i="16"/>
  <c r="Q141" i="16"/>
  <c r="R133" i="16"/>
  <c r="Q133" i="16"/>
  <c r="Q125" i="16"/>
  <c r="R125" i="16"/>
  <c r="Q117" i="16"/>
  <c r="R117" i="16"/>
  <c r="Q109" i="16"/>
  <c r="R109" i="16"/>
  <c r="Q101" i="16"/>
  <c r="R101" i="16"/>
  <c r="Q93" i="16"/>
  <c r="R93" i="16"/>
  <c r="Q85" i="16"/>
  <c r="R85" i="16"/>
  <c r="Q118" i="16"/>
  <c r="R118" i="16"/>
  <c r="Q86" i="16"/>
  <c r="R86" i="16"/>
  <c r="Q156" i="16"/>
  <c r="R156" i="16"/>
  <c r="Q148" i="16"/>
  <c r="R148" i="16"/>
  <c r="R140" i="16"/>
  <c r="Q140" i="16"/>
  <c r="Q132" i="16"/>
  <c r="R132" i="16"/>
  <c r="Q124" i="16"/>
  <c r="R124" i="16"/>
  <c r="Q116" i="16"/>
  <c r="R116" i="16"/>
  <c r="Q108" i="16"/>
  <c r="R108" i="16"/>
  <c r="Q100" i="16"/>
  <c r="R100" i="16"/>
  <c r="Q92" i="16"/>
  <c r="R92" i="16"/>
  <c r="Q84" i="16"/>
  <c r="R84" i="16"/>
  <c r="Q150" i="16"/>
  <c r="R150" i="16"/>
  <c r="Q94" i="16"/>
  <c r="R94" i="16"/>
  <c r="Q155" i="16"/>
  <c r="R155" i="16"/>
  <c r="Q147" i="16"/>
  <c r="R147" i="16"/>
  <c r="R139" i="16"/>
  <c r="Q139" i="16"/>
  <c r="R131" i="16"/>
  <c r="Q131" i="16"/>
  <c r="Q123" i="16"/>
  <c r="R123" i="16"/>
  <c r="R115" i="16"/>
  <c r="Q115" i="16"/>
  <c r="Q107" i="16"/>
  <c r="R107" i="16"/>
  <c r="Q99" i="16"/>
  <c r="R99" i="16"/>
  <c r="Q91" i="16"/>
  <c r="R91" i="16"/>
  <c r="Q83" i="16"/>
  <c r="R83" i="16"/>
  <c r="R146" i="16"/>
  <c r="Q146" i="16"/>
  <c r="R130" i="16"/>
  <c r="Q130" i="16"/>
  <c r="Q122" i="16"/>
  <c r="R122" i="16"/>
  <c r="Q114" i="16"/>
  <c r="R114" i="16"/>
  <c r="Q106" i="16"/>
  <c r="R106" i="16"/>
  <c r="Q98" i="16"/>
  <c r="R98" i="16"/>
  <c r="Q90" i="16"/>
  <c r="R90" i="16"/>
  <c r="Q82" i="16"/>
  <c r="R82" i="16"/>
  <c r="Q126" i="16"/>
  <c r="R126" i="16"/>
  <c r="Q153" i="16"/>
  <c r="R153" i="16"/>
  <c r="R145" i="16"/>
  <c r="Q145" i="16"/>
  <c r="R137" i="16"/>
  <c r="Q137" i="16"/>
  <c r="Q129" i="16"/>
  <c r="R129" i="16"/>
  <c r="Q121" i="16"/>
  <c r="R121" i="16"/>
  <c r="Q113" i="16"/>
  <c r="R113" i="16"/>
  <c r="Q105" i="16"/>
  <c r="R105" i="16"/>
  <c r="Q97" i="16"/>
  <c r="R97" i="16"/>
  <c r="Q89" i="16"/>
  <c r="R89" i="16"/>
  <c r="Q81" i="16"/>
  <c r="R81" i="16"/>
  <c r="R134" i="16"/>
  <c r="Q134" i="16"/>
  <c r="R138" i="16"/>
  <c r="Q138" i="16"/>
  <c r="R144" i="16"/>
  <c r="Q144" i="16"/>
  <c r="R136" i="16"/>
  <c r="Q136" i="16"/>
  <c r="Q128" i="16"/>
  <c r="R128" i="16"/>
  <c r="Q120" i="16"/>
  <c r="R120" i="16"/>
  <c r="Q112" i="16"/>
  <c r="R112" i="16"/>
  <c r="Q104" i="16"/>
  <c r="R104" i="16"/>
  <c r="Q96" i="16"/>
  <c r="R96" i="16"/>
  <c r="Q88" i="16"/>
  <c r="R88" i="16"/>
  <c r="Q80" i="16"/>
  <c r="R80" i="16"/>
  <c r="Q110" i="16"/>
  <c r="R110" i="16"/>
  <c r="R154" i="16"/>
  <c r="Q154" i="16"/>
  <c r="Q152" i="16"/>
  <c r="R152" i="16"/>
  <c r="R151" i="16"/>
  <c r="Q151" i="16"/>
  <c r="R143" i="16"/>
  <c r="Q143" i="16"/>
  <c r="R135" i="16"/>
  <c r="Q135" i="16"/>
  <c r="Q127" i="16"/>
  <c r="R127" i="16"/>
  <c r="R119" i="16"/>
  <c r="Q119" i="16"/>
  <c r="Q111" i="16"/>
  <c r="R111" i="16"/>
  <c r="Q103" i="16"/>
  <c r="R103" i="16"/>
  <c r="Q95" i="16"/>
  <c r="R95" i="16"/>
  <c r="Q87" i="16"/>
  <c r="R87" i="16"/>
  <c r="Q79" i="16"/>
  <c r="R79" i="16"/>
  <c r="I22" i="4"/>
  <c r="I27" i="4" s="1"/>
  <c r="M14" i="16"/>
  <c r="D30" i="4"/>
  <c r="D31" i="4" s="1"/>
  <c r="D32" i="4" s="1"/>
  <c r="M8" i="4"/>
  <c r="M9" i="4" s="1"/>
  <c r="M10" i="4" s="1"/>
  <c r="C14" i="4"/>
  <c r="C15" i="4"/>
  <c r="S79" i="16" l="1"/>
  <c r="S80" i="16"/>
  <c r="S81" i="16"/>
  <c r="S82" i="16"/>
  <c r="S83" i="16"/>
  <c r="S84" i="16"/>
  <c r="S85" i="16"/>
  <c r="S86" i="16"/>
  <c r="S87" i="16"/>
  <c r="S88" i="16"/>
  <c r="S89" i="16"/>
  <c r="S90" i="16"/>
  <c r="S91" i="16"/>
  <c r="S92" i="16"/>
  <c r="S93" i="16"/>
  <c r="S94" i="16"/>
  <c r="S95" i="16"/>
  <c r="S96" i="16"/>
  <c r="S97" i="16"/>
  <c r="S98" i="16"/>
  <c r="S99" i="16"/>
  <c r="S100" i="16"/>
  <c r="S101" i="16"/>
  <c r="S102" i="16"/>
  <c r="S103" i="16"/>
  <c r="S104" i="16"/>
  <c r="S105" i="16"/>
  <c r="S106" i="16"/>
  <c r="S107" i="16"/>
  <c r="S108" i="16"/>
  <c r="S109" i="16"/>
  <c r="S110" i="16"/>
  <c r="S111" i="16"/>
  <c r="S112" i="16"/>
  <c r="S113" i="16"/>
  <c r="S114" i="16"/>
  <c r="S115" i="16"/>
  <c r="S116" i="16"/>
  <c r="S117" i="16"/>
  <c r="S118" i="16"/>
  <c r="S119" i="16"/>
  <c r="S120" i="16"/>
  <c r="S121" i="16"/>
  <c r="S122" i="16"/>
  <c r="S123" i="16"/>
  <c r="S124" i="16"/>
  <c r="S125" i="16"/>
  <c r="S126" i="16"/>
  <c r="S127" i="16"/>
  <c r="S128" i="16"/>
  <c r="S129" i="16"/>
  <c r="S130" i="16"/>
  <c r="S131" i="16"/>
  <c r="S132" i="16"/>
  <c r="S133" i="16"/>
  <c r="S134" i="16"/>
  <c r="S135" i="16"/>
  <c r="S136" i="16"/>
  <c r="S137" i="16"/>
  <c r="S138" i="16"/>
  <c r="S139" i="16"/>
  <c r="S140" i="16"/>
  <c r="S141" i="16"/>
  <c r="S142" i="16"/>
  <c r="S143" i="16"/>
  <c r="S144" i="16"/>
  <c r="S145" i="16"/>
  <c r="S146" i="16"/>
  <c r="S147" i="16"/>
  <c r="S148" i="16"/>
  <c r="S149" i="16"/>
  <c r="S150" i="16"/>
  <c r="S151" i="16"/>
  <c r="S152" i="16"/>
  <c r="S153" i="16"/>
  <c r="S154" i="16"/>
  <c r="S155" i="16"/>
  <c r="S156" i="16"/>
  <c r="S157" i="16"/>
  <c r="M15" i="16"/>
  <c r="M11" i="4"/>
  <c r="M16" i="16" l="1"/>
  <c r="I23" i="4"/>
  <c r="M13" i="4"/>
  <c r="I15" i="4"/>
  <c r="I16" i="4" s="1"/>
  <c r="I11" i="4"/>
  <c r="I12" i="4" s="1"/>
  <c r="M17" i="16" l="1"/>
  <c r="M14" i="4"/>
  <c r="E17" i="1"/>
  <c r="K7" i="1"/>
  <c r="E23" i="1"/>
  <c r="E12" i="1"/>
  <c r="C15" i="1"/>
  <c r="C14" i="1"/>
  <c r="K24" i="4"/>
  <c r="K14" i="4"/>
  <c r="K7" i="4"/>
  <c r="E24" i="4"/>
  <c r="E18" i="4"/>
  <c r="E13" i="4"/>
  <c r="K23" i="1"/>
  <c r="K13" i="1"/>
  <c r="E10" i="1"/>
  <c r="E9" i="1"/>
  <c r="E8" i="1"/>
  <c r="B10" i="1"/>
  <c r="B9" i="1"/>
  <c r="B8" i="1"/>
  <c r="B7" i="1"/>
  <c r="I28" i="4" l="1"/>
  <c r="M19" i="16"/>
  <c r="M15" i="4"/>
  <c r="K4" i="1"/>
  <c r="K4" i="4"/>
  <c r="C10" i="4"/>
  <c r="C9" i="4"/>
  <c r="D121" i="4" a="1"/>
  <c r="D121" i="4" s="1"/>
  <c r="D129" i="4" s="1"/>
  <c r="D133" i="4" s="1"/>
  <c r="D136" i="4" s="1"/>
  <c r="D120" i="4" a="1"/>
  <c r="D120" i="4" s="1"/>
  <c r="D128" i="4" s="1"/>
  <c r="D132" i="4" s="1"/>
  <c r="D135" i="4" s="1"/>
  <c r="I30" i="4" l="1"/>
  <c r="M20" i="16"/>
  <c r="M16" i="4"/>
  <c r="I31" i="4" l="1"/>
  <c r="M21" i="16"/>
  <c r="M18" i="4"/>
  <c r="O16" i="4" l="1"/>
  <c r="Q16" i="4" s="1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19" i="16"/>
  <c r="P120" i="16"/>
  <c r="P121" i="16"/>
  <c r="P122" i="16"/>
  <c r="P123" i="16"/>
  <c r="P124" i="16"/>
  <c r="P125" i="16"/>
  <c r="P126" i="16"/>
  <c r="P127" i="16"/>
  <c r="P128" i="16"/>
  <c r="P129" i="16"/>
  <c r="P130" i="16"/>
  <c r="P131" i="16"/>
  <c r="P132" i="16"/>
  <c r="P133" i="16"/>
  <c r="P134" i="16"/>
  <c r="P135" i="16"/>
  <c r="P136" i="16"/>
  <c r="P137" i="16"/>
  <c r="P138" i="16"/>
  <c r="P139" i="16"/>
  <c r="P140" i="16"/>
  <c r="P141" i="16"/>
  <c r="P142" i="16"/>
  <c r="P143" i="16"/>
  <c r="P144" i="16"/>
  <c r="P145" i="16"/>
  <c r="P146" i="16"/>
  <c r="P147" i="16"/>
  <c r="P148" i="16"/>
  <c r="P149" i="16"/>
  <c r="P150" i="16"/>
  <c r="P151" i="16"/>
  <c r="P152" i="16"/>
  <c r="P153" i="16"/>
  <c r="P154" i="16"/>
  <c r="P155" i="16"/>
  <c r="P156" i="16"/>
  <c r="P157" i="16"/>
  <c r="O12" i="16"/>
  <c r="O20" i="16"/>
  <c r="O14" i="16"/>
  <c r="O13" i="16"/>
  <c r="O15" i="16"/>
  <c r="O16" i="16"/>
  <c r="O17" i="16"/>
  <c r="O18" i="16"/>
  <c r="O9" i="16"/>
  <c r="O19" i="16"/>
  <c r="O10" i="16"/>
  <c r="O21" i="16"/>
  <c r="O11" i="16"/>
  <c r="N21" i="16"/>
  <c r="U21" i="16" s="1"/>
  <c r="N15" i="16"/>
  <c r="U15" i="16" s="1"/>
  <c r="N14" i="16"/>
  <c r="U14" i="16" s="1"/>
  <c r="N13" i="16"/>
  <c r="U13" i="16" s="1"/>
  <c r="N12" i="16"/>
  <c r="U12" i="16" s="1"/>
  <c r="N16" i="16"/>
  <c r="U16" i="16" s="1"/>
  <c r="N20" i="16"/>
  <c r="U20" i="16" s="1"/>
  <c r="N9" i="16"/>
  <c r="N19" i="16"/>
  <c r="U19" i="16" s="1"/>
  <c r="N18" i="16"/>
  <c r="U18" i="16" s="1"/>
  <c r="N10" i="16"/>
  <c r="U10" i="16" s="1"/>
  <c r="N17" i="16"/>
  <c r="U17" i="16" s="1"/>
  <c r="N11" i="16"/>
  <c r="U11" i="16" s="1"/>
  <c r="P8" i="4"/>
  <c r="O8" i="4"/>
  <c r="N8" i="4"/>
  <c r="U8" i="4" s="1"/>
  <c r="P17" i="16"/>
  <c r="B60" i="16"/>
  <c r="P11" i="16"/>
  <c r="P17" i="4"/>
  <c r="P15" i="4"/>
  <c r="N15" i="4"/>
  <c r="U15" i="4" s="1" a="1"/>
  <c r="U15" i="4" s="1"/>
  <c r="P12" i="16"/>
  <c r="P10" i="4"/>
  <c r="O9" i="4"/>
  <c r="N11" i="4"/>
  <c r="U11" i="4" s="1" a="1"/>
  <c r="U11" i="4" s="1"/>
  <c r="P14" i="16"/>
  <c r="P11" i="4"/>
  <c r="B59" i="16"/>
  <c r="P15" i="16"/>
  <c r="P12" i="4"/>
  <c r="O13" i="4"/>
  <c r="N10" i="4"/>
  <c r="U10" i="4" s="1" a="1"/>
  <c r="U10" i="4" s="1"/>
  <c r="O12" i="4"/>
  <c r="N12" i="4"/>
  <c r="U12" i="4" s="1" a="1"/>
  <c r="U12" i="4" s="1"/>
  <c r="N14" i="4"/>
  <c r="U14" i="4" s="1" a="1"/>
  <c r="U14" i="4" s="1"/>
  <c r="P10" i="16"/>
  <c r="P16" i="16"/>
  <c r="O10" i="4"/>
  <c r="O14" i="4"/>
  <c r="N16" i="4"/>
  <c r="U16" i="4" s="1" a="1"/>
  <c r="U16" i="4" s="1"/>
  <c r="P19" i="16"/>
  <c r="O15" i="4"/>
  <c r="N9" i="4"/>
  <c r="U9" i="4" s="1" a="1"/>
  <c r="U9" i="4" s="1"/>
  <c r="P9" i="16"/>
  <c r="P13" i="16"/>
  <c r="P13" i="4"/>
  <c r="N17" i="4"/>
  <c r="U17" i="4" s="1" a="1"/>
  <c r="U17" i="4" s="1"/>
  <c r="N13" i="4"/>
  <c r="U13" i="4" s="1" a="1"/>
  <c r="U13" i="4" s="1"/>
  <c r="P18" i="16"/>
  <c r="P14" i="4"/>
  <c r="O17" i="4"/>
  <c r="P9" i="4"/>
  <c r="O11" i="4"/>
  <c r="P16" i="4"/>
  <c r="P20" i="16"/>
  <c r="M22" i="16"/>
  <c r="P21" i="16"/>
  <c r="P18" i="4"/>
  <c r="N18" i="4"/>
  <c r="O18" i="4"/>
  <c r="Q18" i="4" s="1"/>
  <c r="R16" i="4" a="1"/>
  <c r="R16" i="4" s="1"/>
  <c r="S16" i="4" a="1"/>
  <c r="S16" i="4" s="1"/>
  <c r="M19" i="4"/>
  <c r="N22" i="16" l="1"/>
  <c r="U22" i="16" s="1"/>
  <c r="O22" i="16"/>
  <c r="S22" i="16" s="1"/>
  <c r="R17" i="16"/>
  <c r="Q17" i="16"/>
  <c r="S17" i="16"/>
  <c r="Q11" i="4"/>
  <c r="S11" i="4" a="1"/>
  <c r="S11" i="4" s="1"/>
  <c r="R11" i="4" a="1"/>
  <c r="R11" i="4" s="1"/>
  <c r="S16" i="16"/>
  <c r="Q16" i="16"/>
  <c r="R16" i="16"/>
  <c r="Q10" i="4"/>
  <c r="S10" i="4" a="1"/>
  <c r="S10" i="4" s="1"/>
  <c r="R10" i="4" a="1"/>
  <c r="R10" i="4" s="1"/>
  <c r="Q17" i="4"/>
  <c r="S17" i="4" a="1"/>
  <c r="S17" i="4" s="1"/>
  <c r="R17" i="4" a="1"/>
  <c r="R17" i="4" s="1"/>
  <c r="S8" i="4"/>
  <c r="R8" i="4"/>
  <c r="Q8" i="4"/>
  <c r="R21" i="16"/>
  <c r="Q21" i="16"/>
  <c r="S21" i="16"/>
  <c r="S18" i="16"/>
  <c r="R18" i="16"/>
  <c r="Q18" i="16"/>
  <c r="Q12" i="4"/>
  <c r="R12" i="4" a="1"/>
  <c r="R12" i="4" s="1"/>
  <c r="S12" i="4" a="1"/>
  <c r="S12" i="4" s="1"/>
  <c r="U9" i="16"/>
  <c r="R19" i="16"/>
  <c r="Q19" i="16"/>
  <c r="S19" i="16"/>
  <c r="Q15" i="4"/>
  <c r="R15" i="4" a="1"/>
  <c r="R15" i="4" s="1"/>
  <c r="S15" i="4" a="1"/>
  <c r="S15" i="4" s="1"/>
  <c r="Q9" i="4"/>
  <c r="R9" i="4" a="1"/>
  <c r="R9" i="4" s="1"/>
  <c r="S9" i="4" a="1"/>
  <c r="S9" i="4" s="1"/>
  <c r="S9" i="16"/>
  <c r="Q9" i="16"/>
  <c r="R9" i="16"/>
  <c r="Q15" i="16"/>
  <c r="R15" i="16"/>
  <c r="S15" i="16"/>
  <c r="S20" i="16"/>
  <c r="R20" i="16"/>
  <c r="Q20" i="16"/>
  <c r="Q14" i="4"/>
  <c r="R14" i="4" a="1"/>
  <c r="R14" i="4" s="1"/>
  <c r="S14" i="4" a="1"/>
  <c r="S14" i="4" s="1"/>
  <c r="Q13" i="4"/>
  <c r="R13" i="4" a="1"/>
  <c r="R13" i="4" s="1"/>
  <c r="S13" i="4" a="1"/>
  <c r="S13" i="4" s="1"/>
  <c r="Q11" i="16"/>
  <c r="S11" i="16"/>
  <c r="R11" i="16"/>
  <c r="S10" i="16"/>
  <c r="Q10" i="16"/>
  <c r="R10" i="16"/>
  <c r="R13" i="16"/>
  <c r="Q13" i="16"/>
  <c r="S13" i="16"/>
  <c r="Q14" i="16"/>
  <c r="R14" i="16"/>
  <c r="S14" i="16"/>
  <c r="S12" i="16"/>
  <c r="Q12" i="16"/>
  <c r="R12" i="16"/>
  <c r="M23" i="16"/>
  <c r="P22" i="16"/>
  <c r="O19" i="4"/>
  <c r="Q19" i="4" s="1"/>
  <c r="P19" i="4"/>
  <c r="N19" i="4"/>
  <c r="U18" i="4" a="1"/>
  <c r="U18" i="4" s="1"/>
  <c r="R18" i="4" a="1"/>
  <c r="R18" i="4" s="1"/>
  <c r="S18" i="4" a="1"/>
  <c r="S18" i="4" s="1"/>
  <c r="M20" i="4"/>
  <c r="Q22" i="16" l="1"/>
  <c r="R22" i="16"/>
  <c r="O23" i="16"/>
  <c r="N23" i="16"/>
  <c r="M24" i="16"/>
  <c r="P23" i="16"/>
  <c r="N20" i="4"/>
  <c r="O20" i="4"/>
  <c r="Q20" i="4" s="1"/>
  <c r="P20" i="4"/>
  <c r="U19" i="4" a="1"/>
  <c r="U19" i="4" s="1"/>
  <c r="R19" i="4" a="1"/>
  <c r="R19" i="4" s="1"/>
  <c r="S19" i="4" a="1"/>
  <c r="S19" i="4" s="1"/>
  <c r="M21" i="4"/>
  <c r="U23" i="16" l="1"/>
  <c r="Q23" i="16"/>
  <c r="R23" i="16"/>
  <c r="S23" i="16"/>
  <c r="O24" i="16"/>
  <c r="N24" i="16"/>
  <c r="U24" i="16" s="1"/>
  <c r="M25" i="16"/>
  <c r="P24" i="16"/>
  <c r="N21" i="4"/>
  <c r="O21" i="4"/>
  <c r="Q21" i="4" s="1"/>
  <c r="P21" i="4"/>
  <c r="M22" i="4"/>
  <c r="U20" i="4" a="1"/>
  <c r="U20" i="4" s="1"/>
  <c r="S20" i="4" a="1"/>
  <c r="S20" i="4" s="1"/>
  <c r="R20" i="4" a="1"/>
  <c r="R20" i="4" s="1"/>
  <c r="S24" i="16" l="1"/>
  <c r="R24" i="16"/>
  <c r="Q24" i="16"/>
  <c r="O25" i="16"/>
  <c r="N25" i="16"/>
  <c r="U25" i="16" s="1"/>
  <c r="M26" i="16"/>
  <c r="P25" i="16"/>
  <c r="N22" i="4"/>
  <c r="O22" i="4"/>
  <c r="Q22" i="4" s="1"/>
  <c r="P22" i="4"/>
  <c r="U21" i="4" a="1"/>
  <c r="U21" i="4" s="1"/>
  <c r="M23" i="4"/>
  <c r="R21" i="4" a="1"/>
  <c r="R21" i="4" s="1"/>
  <c r="S21" i="4" a="1"/>
  <c r="S21" i="4" s="1"/>
  <c r="O26" i="16" l="1"/>
  <c r="N26" i="16"/>
  <c r="U26" i="16" s="1"/>
  <c r="Q25" i="16"/>
  <c r="S25" i="16"/>
  <c r="R25" i="16"/>
  <c r="P26" i="16"/>
  <c r="M27" i="16"/>
  <c r="P23" i="4"/>
  <c r="O23" i="4"/>
  <c r="Q23" i="4" s="1"/>
  <c r="N23" i="4"/>
  <c r="M24" i="4"/>
  <c r="U22" i="4" a="1"/>
  <c r="U22" i="4" s="1"/>
  <c r="S22" i="4" a="1"/>
  <c r="S22" i="4" s="1"/>
  <c r="R22" i="4" a="1"/>
  <c r="R22" i="4" s="1"/>
  <c r="O27" i="16" l="1"/>
  <c r="N27" i="16"/>
  <c r="U27" i="16" s="1"/>
  <c r="S26" i="16"/>
  <c r="R26" i="16"/>
  <c r="Q26" i="16"/>
  <c r="P27" i="16"/>
  <c r="M28" i="16"/>
  <c r="O24" i="4"/>
  <c r="Q24" i="4" s="1"/>
  <c r="P24" i="4"/>
  <c r="N24" i="4"/>
  <c r="M25" i="4"/>
  <c r="R23" i="4" a="1"/>
  <c r="R23" i="4" s="1"/>
  <c r="S23" i="4" a="1"/>
  <c r="S23" i="4" s="1"/>
  <c r="U23" i="4" a="1"/>
  <c r="U23" i="4" s="1"/>
  <c r="O28" i="16" l="1"/>
  <c r="N28" i="16"/>
  <c r="U28" i="16" s="1"/>
  <c r="Q27" i="16"/>
  <c r="S27" i="16"/>
  <c r="R27" i="16"/>
  <c r="P28" i="16"/>
  <c r="M29" i="16"/>
  <c r="O25" i="4"/>
  <c r="Q25" i="4" s="1"/>
  <c r="P25" i="4"/>
  <c r="N25" i="4"/>
  <c r="U24" i="4" a="1"/>
  <c r="U24" i="4" s="1"/>
  <c r="M26" i="4"/>
  <c r="R24" i="4" a="1"/>
  <c r="R24" i="4" s="1"/>
  <c r="S24" i="4" a="1"/>
  <c r="S24" i="4" s="1"/>
  <c r="N29" i="16" l="1"/>
  <c r="U29" i="16" s="1"/>
  <c r="O29" i="16"/>
  <c r="S28" i="16"/>
  <c r="R28" i="16"/>
  <c r="Q28" i="16"/>
  <c r="M30" i="16"/>
  <c r="P29" i="16"/>
  <c r="O26" i="4"/>
  <c r="Q26" i="4" s="1"/>
  <c r="P26" i="4"/>
  <c r="N26" i="4"/>
  <c r="U25" i="4" a="1"/>
  <c r="U25" i="4" s="1"/>
  <c r="M27" i="4"/>
  <c r="S25" i="4" a="1"/>
  <c r="S25" i="4" s="1"/>
  <c r="R25" i="4" a="1"/>
  <c r="R25" i="4" s="1"/>
  <c r="N30" i="16" l="1"/>
  <c r="U30" i="16" s="1"/>
  <c r="O30" i="16"/>
  <c r="S29" i="16"/>
  <c r="R29" i="16"/>
  <c r="Q29" i="16"/>
  <c r="P30" i="16"/>
  <c r="M31" i="16"/>
  <c r="O27" i="4"/>
  <c r="Q27" i="4" s="1"/>
  <c r="P27" i="4"/>
  <c r="N27" i="4"/>
  <c r="M28" i="4"/>
  <c r="U26" i="4" a="1"/>
  <c r="U26" i="4" s="1"/>
  <c r="S26" i="4" a="1"/>
  <c r="S26" i="4" s="1"/>
  <c r="R26" i="4" a="1"/>
  <c r="R26" i="4" s="1"/>
  <c r="R30" i="16" l="1"/>
  <c r="Q30" i="16"/>
  <c r="S30" i="16"/>
  <c r="O31" i="16"/>
  <c r="N31" i="16"/>
  <c r="U31" i="16" s="1"/>
  <c r="P31" i="16"/>
  <c r="M32" i="16"/>
  <c r="O28" i="4"/>
  <c r="Q28" i="4" s="1"/>
  <c r="P28" i="4"/>
  <c r="N28" i="4"/>
  <c r="U27" i="4" a="1"/>
  <c r="U27" i="4" s="1"/>
  <c r="R27" i="4" a="1"/>
  <c r="R27" i="4" s="1"/>
  <c r="S27" i="4" a="1"/>
  <c r="S27" i="4" s="1"/>
  <c r="M29" i="4"/>
  <c r="O32" i="16" l="1"/>
  <c r="N32" i="16"/>
  <c r="U32" i="16" s="1"/>
  <c r="R31" i="16"/>
  <c r="S31" i="16"/>
  <c r="Q31" i="16"/>
  <c r="M33" i="16"/>
  <c r="P32" i="16"/>
  <c r="P29" i="4"/>
  <c r="O29" i="4"/>
  <c r="Q29" i="4" s="1"/>
  <c r="N29" i="4"/>
  <c r="M30" i="4"/>
  <c r="U28" i="4" a="1"/>
  <c r="U28" i="4" s="1"/>
  <c r="R28" i="4" a="1"/>
  <c r="R28" i="4" s="1"/>
  <c r="S28" i="4" a="1"/>
  <c r="S28" i="4" s="1"/>
  <c r="N33" i="16" l="1"/>
  <c r="U33" i="16" s="1"/>
  <c r="O33" i="16"/>
  <c r="S32" i="16"/>
  <c r="Q32" i="16"/>
  <c r="R32" i="16"/>
  <c r="M34" i="16"/>
  <c r="P33" i="16"/>
  <c r="P30" i="4"/>
  <c r="O30" i="4"/>
  <c r="Q30" i="4" s="1"/>
  <c r="N30" i="4"/>
  <c r="M31" i="4"/>
  <c r="R29" i="4" a="1"/>
  <c r="R29" i="4" s="1"/>
  <c r="S29" i="4" a="1"/>
  <c r="S29" i="4" s="1"/>
  <c r="U29" i="4" a="1"/>
  <c r="U29" i="4" s="1"/>
  <c r="Q33" i="16" l="1"/>
  <c r="R33" i="16"/>
  <c r="S33" i="16"/>
  <c r="N34" i="16"/>
  <c r="U34" i="16" s="1"/>
  <c r="O34" i="16"/>
  <c r="P34" i="16"/>
  <c r="M35" i="16"/>
  <c r="O31" i="4"/>
  <c r="Q31" i="4" s="1"/>
  <c r="P31" i="4"/>
  <c r="N31" i="4"/>
  <c r="R30" i="4" a="1"/>
  <c r="R30" i="4" s="1"/>
  <c r="S30" i="4" a="1"/>
  <c r="S30" i="4" s="1"/>
  <c r="U30" i="4" a="1"/>
  <c r="U30" i="4" s="1"/>
  <c r="M32" i="4"/>
  <c r="S34" i="16" l="1"/>
  <c r="Q34" i="16"/>
  <c r="R34" i="16"/>
  <c r="O35" i="16"/>
  <c r="N35" i="16"/>
  <c r="U35" i="16" s="1"/>
  <c r="P35" i="16"/>
  <c r="M36" i="16"/>
  <c r="O32" i="4"/>
  <c r="Q32" i="4" s="1"/>
  <c r="N32" i="4"/>
  <c r="P32" i="4"/>
  <c r="S31" i="4" a="1"/>
  <c r="S31" i="4" s="1"/>
  <c r="R31" i="4" a="1"/>
  <c r="R31" i="4" s="1"/>
  <c r="U31" i="4" a="1"/>
  <c r="U31" i="4" s="1"/>
  <c r="M33" i="4"/>
  <c r="S35" i="16" l="1"/>
  <c r="R35" i="16"/>
  <c r="Q35" i="16"/>
  <c r="O36" i="16"/>
  <c r="N36" i="16"/>
  <c r="U36" i="16" s="1"/>
  <c r="M37" i="16"/>
  <c r="P36" i="16"/>
  <c r="O33" i="4"/>
  <c r="Q33" i="4" s="1"/>
  <c r="P33" i="4"/>
  <c r="N33" i="4"/>
  <c r="S32" i="4" a="1"/>
  <c r="S32" i="4" s="1"/>
  <c r="R32" i="4" a="1"/>
  <c r="R32" i="4" s="1"/>
  <c r="U32" i="4" a="1"/>
  <c r="U32" i="4" s="1"/>
  <c r="M34" i="4"/>
  <c r="O37" i="16" l="1"/>
  <c r="N37" i="16"/>
  <c r="U37" i="16" s="1"/>
  <c r="S36" i="16"/>
  <c r="R36" i="16"/>
  <c r="Q36" i="16"/>
  <c r="P37" i="16"/>
  <c r="M38" i="16"/>
  <c r="O34" i="4"/>
  <c r="Q34" i="4" s="1"/>
  <c r="P34" i="4"/>
  <c r="N34" i="4"/>
  <c r="S33" i="4" a="1"/>
  <c r="S33" i="4" s="1"/>
  <c r="R33" i="4" a="1"/>
  <c r="R33" i="4" s="1"/>
  <c r="M35" i="4"/>
  <c r="U33" i="4" a="1"/>
  <c r="U33" i="4" s="1"/>
  <c r="N38" i="16" l="1"/>
  <c r="U38" i="16" s="1"/>
  <c r="O38" i="16"/>
  <c r="S37" i="16"/>
  <c r="R37" i="16"/>
  <c r="Q37" i="16"/>
  <c r="M39" i="16"/>
  <c r="P38" i="16"/>
  <c r="O35" i="4"/>
  <c r="Q35" i="4" s="1"/>
  <c r="P35" i="4"/>
  <c r="N35" i="4"/>
  <c r="U34" i="4" a="1"/>
  <c r="U34" i="4" s="1"/>
  <c r="M36" i="4"/>
  <c r="S34" i="4" a="1"/>
  <c r="S34" i="4" s="1"/>
  <c r="R34" i="4" a="1"/>
  <c r="R34" i="4" s="1"/>
  <c r="N39" i="16" l="1"/>
  <c r="U39" i="16" s="1"/>
  <c r="O39" i="16"/>
  <c r="Q38" i="16"/>
  <c r="S38" i="16"/>
  <c r="R38" i="16"/>
  <c r="M40" i="16"/>
  <c r="P39" i="16"/>
  <c r="P36" i="4"/>
  <c r="O36" i="4"/>
  <c r="Q36" i="4" s="1"/>
  <c r="N36" i="4"/>
  <c r="R35" i="4" a="1"/>
  <c r="R35" i="4" s="1"/>
  <c r="S35" i="4" a="1"/>
  <c r="S35" i="4" s="1"/>
  <c r="U35" i="4" a="1"/>
  <c r="U35" i="4" s="1"/>
  <c r="M37" i="4"/>
  <c r="N40" i="16" l="1"/>
  <c r="U40" i="16" s="1"/>
  <c r="O40" i="16"/>
  <c r="Q39" i="16"/>
  <c r="R39" i="16"/>
  <c r="S39" i="16"/>
  <c r="M41" i="16"/>
  <c r="P40" i="16"/>
  <c r="O37" i="4"/>
  <c r="Q37" i="4" s="1"/>
  <c r="P37" i="4"/>
  <c r="N37" i="4"/>
  <c r="R36" i="4" a="1"/>
  <c r="R36" i="4" s="1"/>
  <c r="S36" i="4" a="1"/>
  <c r="S36" i="4" s="1"/>
  <c r="M38" i="4"/>
  <c r="U36" i="4" a="1"/>
  <c r="U36" i="4" s="1"/>
  <c r="R40" i="16" l="1"/>
  <c r="Q40" i="16"/>
  <c r="S40" i="16"/>
  <c r="N41" i="16"/>
  <c r="U41" i="16" s="1"/>
  <c r="O41" i="16"/>
  <c r="M42" i="16"/>
  <c r="P41" i="16"/>
  <c r="O38" i="4"/>
  <c r="Q38" i="4" s="1"/>
  <c r="P38" i="4"/>
  <c r="N38" i="4"/>
  <c r="R37" i="4" a="1"/>
  <c r="R37" i="4" s="1"/>
  <c r="S37" i="4" a="1"/>
  <c r="S37" i="4" s="1"/>
  <c r="U37" i="4" a="1"/>
  <c r="U37" i="4" s="1"/>
  <c r="M39" i="4"/>
  <c r="S41" i="16" l="1"/>
  <c r="Q41" i="16"/>
  <c r="R41" i="16"/>
  <c r="N42" i="16"/>
  <c r="U42" i="16" s="1"/>
  <c r="O42" i="16"/>
  <c r="P42" i="16"/>
  <c r="M43" i="16"/>
  <c r="O39" i="4"/>
  <c r="Q39" i="4" s="1"/>
  <c r="P39" i="4"/>
  <c r="N39" i="4"/>
  <c r="U38" i="4" a="1"/>
  <c r="U38" i="4" s="1"/>
  <c r="S38" i="4" a="1"/>
  <c r="S38" i="4" s="1"/>
  <c r="R38" i="4" a="1"/>
  <c r="R38" i="4" s="1"/>
  <c r="M40" i="4"/>
  <c r="N43" i="16" l="1"/>
  <c r="U43" i="16" s="1"/>
  <c r="O43" i="16"/>
  <c r="S42" i="16"/>
  <c r="R42" i="16"/>
  <c r="Q42" i="16"/>
  <c r="M44" i="16"/>
  <c r="P43" i="16"/>
  <c r="O40" i="4"/>
  <c r="Q40" i="4" s="1"/>
  <c r="P40" i="4"/>
  <c r="N40" i="4"/>
  <c r="U39" i="4" a="1"/>
  <c r="U39" i="4" s="1"/>
  <c r="S39" i="4" a="1"/>
  <c r="S39" i="4" s="1"/>
  <c r="R39" i="4" a="1"/>
  <c r="R39" i="4" s="1"/>
  <c r="M41" i="4"/>
  <c r="N44" i="16" l="1"/>
  <c r="U44" i="16" s="1"/>
  <c r="O44" i="16"/>
  <c r="R43" i="16"/>
  <c r="Q43" i="16"/>
  <c r="S43" i="16"/>
  <c r="M45" i="16"/>
  <c r="P44" i="16"/>
  <c r="O41" i="4"/>
  <c r="Q41" i="4" s="1"/>
  <c r="P41" i="4"/>
  <c r="N41" i="4"/>
  <c r="R40" i="4" a="1"/>
  <c r="R40" i="4" s="1"/>
  <c r="S40" i="4" a="1"/>
  <c r="S40" i="4" s="1"/>
  <c r="M42" i="4"/>
  <c r="U40" i="4" a="1"/>
  <c r="U40" i="4" s="1"/>
  <c r="O45" i="16" l="1"/>
  <c r="N45" i="16"/>
  <c r="U45" i="16" s="1"/>
  <c r="S44" i="16"/>
  <c r="R44" i="16"/>
  <c r="Q44" i="16"/>
  <c r="P45" i="16"/>
  <c r="M46" i="16"/>
  <c r="O42" i="4"/>
  <c r="Q42" i="4" s="1"/>
  <c r="P42" i="4"/>
  <c r="N42" i="4"/>
  <c r="S41" i="4" a="1"/>
  <c r="S41" i="4" s="1"/>
  <c r="R41" i="4" a="1"/>
  <c r="R41" i="4" s="1"/>
  <c r="M43" i="4"/>
  <c r="U41" i="4" a="1"/>
  <c r="U41" i="4" s="1"/>
  <c r="R45" i="16" l="1"/>
  <c r="Q45" i="16"/>
  <c r="S45" i="16"/>
  <c r="O46" i="16"/>
  <c r="N46" i="16"/>
  <c r="U46" i="16" s="1"/>
  <c r="M47" i="16"/>
  <c r="P46" i="16"/>
  <c r="O43" i="4"/>
  <c r="Q43" i="4" s="1"/>
  <c r="P43" i="4"/>
  <c r="N43" i="4"/>
  <c r="M44" i="4"/>
  <c r="U42" i="4" a="1"/>
  <c r="U42" i="4" s="1"/>
  <c r="R42" i="4" a="1"/>
  <c r="R42" i="4" s="1"/>
  <c r="S42" i="4" a="1"/>
  <c r="S42" i="4" s="1"/>
  <c r="S46" i="16" l="1"/>
  <c r="R46" i="16"/>
  <c r="Q46" i="16"/>
  <c r="O47" i="16"/>
  <c r="N47" i="16"/>
  <c r="U47" i="16" s="1"/>
  <c r="M48" i="16"/>
  <c r="P47" i="16"/>
  <c r="O44" i="4"/>
  <c r="Q44" i="4" s="1"/>
  <c r="P44" i="4"/>
  <c r="N44" i="4"/>
  <c r="R43" i="4" a="1"/>
  <c r="R43" i="4" s="1"/>
  <c r="S43" i="4" a="1"/>
  <c r="S43" i="4" s="1"/>
  <c r="U43" i="4" a="1"/>
  <c r="U43" i="4" s="1"/>
  <c r="M45" i="4"/>
  <c r="N48" i="16" l="1"/>
  <c r="U48" i="16" s="1"/>
  <c r="O48" i="16"/>
  <c r="Q47" i="16"/>
  <c r="R47" i="16"/>
  <c r="S47" i="16"/>
  <c r="M49" i="16"/>
  <c r="P48" i="16"/>
  <c r="O45" i="4"/>
  <c r="Q45" i="4" s="1"/>
  <c r="P45" i="4"/>
  <c r="N45" i="4"/>
  <c r="M46" i="4"/>
  <c r="U44" i="4" a="1"/>
  <c r="U44" i="4" s="1"/>
  <c r="S44" i="4" a="1"/>
  <c r="S44" i="4" s="1"/>
  <c r="R44" i="4" a="1"/>
  <c r="R44" i="4" s="1"/>
  <c r="R48" i="16" l="1"/>
  <c r="S48" i="16"/>
  <c r="Q48" i="16"/>
  <c r="O49" i="16"/>
  <c r="N49" i="16"/>
  <c r="U49" i="16" s="1"/>
  <c r="M50" i="16"/>
  <c r="P49" i="16"/>
  <c r="O46" i="4"/>
  <c r="Q46" i="4" s="1"/>
  <c r="P46" i="4"/>
  <c r="N46" i="4"/>
  <c r="U45" i="4" a="1"/>
  <c r="U45" i="4" s="1"/>
  <c r="M47" i="4"/>
  <c r="S45" i="4" a="1"/>
  <c r="S45" i="4" s="1"/>
  <c r="R45" i="4" a="1"/>
  <c r="R45" i="4" s="1"/>
  <c r="Q49" i="16" l="1"/>
  <c r="R49" i="16"/>
  <c r="S49" i="16"/>
  <c r="O50" i="16"/>
  <c r="N50" i="16"/>
  <c r="U50" i="16" s="1"/>
  <c r="M51" i="16"/>
  <c r="P50" i="16"/>
  <c r="O47" i="4"/>
  <c r="Q47" i="4" s="1"/>
  <c r="P47" i="4"/>
  <c r="N47" i="4"/>
  <c r="U46" i="4" a="1"/>
  <c r="U46" i="4" s="1"/>
  <c r="R46" i="4" a="1"/>
  <c r="R46" i="4" s="1"/>
  <c r="S46" i="4" a="1"/>
  <c r="S46" i="4" s="1"/>
  <c r="M48" i="4"/>
  <c r="N51" i="16" l="1"/>
  <c r="U51" i="16" s="1"/>
  <c r="O51" i="16"/>
  <c r="S50" i="16"/>
  <c r="R50" i="16"/>
  <c r="Q50" i="16"/>
  <c r="M52" i="16"/>
  <c r="P51" i="16"/>
  <c r="O48" i="4"/>
  <c r="Q48" i="4" s="1"/>
  <c r="N48" i="4"/>
  <c r="P48" i="4"/>
  <c r="U47" i="4" a="1"/>
  <c r="U47" i="4" s="1"/>
  <c r="R47" i="4" a="1"/>
  <c r="R47" i="4" s="1"/>
  <c r="S47" i="4" a="1"/>
  <c r="S47" i="4" s="1"/>
  <c r="M49" i="4"/>
  <c r="Q51" i="16" l="1"/>
  <c r="S51" i="16"/>
  <c r="R51" i="16"/>
  <c r="O52" i="16"/>
  <c r="N52" i="16"/>
  <c r="U52" i="16" s="1"/>
  <c r="P52" i="16"/>
  <c r="M53" i="16"/>
  <c r="O49" i="4"/>
  <c r="Q49" i="4" s="1"/>
  <c r="P49" i="4"/>
  <c r="N49" i="4"/>
  <c r="R48" i="4" a="1"/>
  <c r="R48" i="4" s="1"/>
  <c r="S48" i="4" a="1"/>
  <c r="S48" i="4" s="1"/>
  <c r="U48" i="4" a="1"/>
  <c r="U48" i="4" s="1"/>
  <c r="M50" i="4"/>
  <c r="N53" i="16" l="1"/>
  <c r="U53" i="16" s="1"/>
  <c r="O53" i="16"/>
  <c r="Q52" i="16"/>
  <c r="R52" i="16"/>
  <c r="S52" i="16"/>
  <c r="P53" i="16"/>
  <c r="M54" i="16"/>
  <c r="O50" i="4"/>
  <c r="Q50" i="4" s="1"/>
  <c r="P50" i="4"/>
  <c r="N50" i="4"/>
  <c r="S49" i="4" a="1"/>
  <c r="S49" i="4" s="1"/>
  <c r="R49" i="4" a="1"/>
  <c r="R49" i="4" s="1"/>
  <c r="U49" i="4" a="1"/>
  <c r="U49" i="4" s="1"/>
  <c r="M51" i="4"/>
  <c r="Q53" i="16" l="1"/>
  <c r="S53" i="16"/>
  <c r="R53" i="16"/>
  <c r="N54" i="16"/>
  <c r="U54" i="16" s="1"/>
  <c r="O54" i="16"/>
  <c r="M55" i="16"/>
  <c r="P54" i="16"/>
  <c r="N51" i="4"/>
  <c r="O51" i="4"/>
  <c r="Q51" i="4" s="1"/>
  <c r="P51" i="4"/>
  <c r="M52" i="4"/>
  <c r="R50" i="4" a="1"/>
  <c r="R50" i="4" s="1"/>
  <c r="S50" i="4" a="1"/>
  <c r="S50" i="4" s="1"/>
  <c r="U50" i="4" a="1"/>
  <c r="U50" i="4" s="1"/>
  <c r="Q54" i="16" l="1"/>
  <c r="S54" i="16"/>
  <c r="R54" i="16"/>
  <c r="N55" i="16"/>
  <c r="U55" i="16" s="1"/>
  <c r="O55" i="16"/>
  <c r="P55" i="16"/>
  <c r="M56" i="16"/>
  <c r="O52" i="4"/>
  <c r="Q52" i="4" s="1"/>
  <c r="P52" i="4"/>
  <c r="N52" i="4"/>
  <c r="M53" i="4"/>
  <c r="U51" i="4" a="1"/>
  <c r="U51" i="4" s="1"/>
  <c r="R51" i="4" a="1"/>
  <c r="R51" i="4" s="1"/>
  <c r="S51" i="4" a="1"/>
  <c r="S51" i="4" s="1"/>
  <c r="Q55" i="16" l="1"/>
  <c r="S55" i="16"/>
  <c r="R55" i="16"/>
  <c r="O56" i="16"/>
  <c r="N56" i="16"/>
  <c r="U56" i="16" s="1"/>
  <c r="P56" i="16"/>
  <c r="M57" i="16"/>
  <c r="O53" i="4"/>
  <c r="Q53" i="4" s="1"/>
  <c r="P53" i="4"/>
  <c r="N53" i="4"/>
  <c r="M54" i="4"/>
  <c r="U52" i="4" a="1"/>
  <c r="U52" i="4" s="1"/>
  <c r="S52" i="4" a="1"/>
  <c r="S52" i="4" s="1"/>
  <c r="R52" i="4" a="1"/>
  <c r="R52" i="4" s="1"/>
  <c r="O57" i="16" l="1"/>
  <c r="N57" i="16"/>
  <c r="U57" i="16" s="1"/>
  <c r="S56" i="16"/>
  <c r="R56" i="16"/>
  <c r="Q56" i="16"/>
  <c r="M58" i="16"/>
  <c r="P57" i="16"/>
  <c r="O54" i="4"/>
  <c r="Q54" i="4" s="1"/>
  <c r="P54" i="4"/>
  <c r="N54" i="4"/>
  <c r="U53" i="4" a="1"/>
  <c r="U53" i="4" s="1"/>
  <c r="R53" i="4" a="1"/>
  <c r="R53" i="4" s="1"/>
  <c r="S53" i="4" a="1"/>
  <c r="S53" i="4" s="1"/>
  <c r="M55" i="4"/>
  <c r="O58" i="16" l="1"/>
  <c r="N58" i="16"/>
  <c r="U58" i="16" s="1"/>
  <c r="Q57" i="16"/>
  <c r="S57" i="16"/>
  <c r="R57" i="16"/>
  <c r="M59" i="16"/>
  <c r="P58" i="16"/>
  <c r="O55" i="4"/>
  <c r="Q55" i="4" s="1"/>
  <c r="P55" i="4"/>
  <c r="N55" i="4"/>
  <c r="R54" i="4" a="1"/>
  <c r="R54" i="4" s="1"/>
  <c r="S54" i="4" a="1"/>
  <c r="S54" i="4" s="1"/>
  <c r="M56" i="4"/>
  <c r="U54" i="4" a="1"/>
  <c r="U54" i="4" s="1"/>
  <c r="N59" i="16" l="1"/>
  <c r="U59" i="16" s="1"/>
  <c r="O59" i="16"/>
  <c r="S58" i="16"/>
  <c r="R58" i="16"/>
  <c r="Q58" i="16"/>
  <c r="M60" i="16"/>
  <c r="P59" i="16"/>
  <c r="P56" i="4"/>
  <c r="O56" i="4"/>
  <c r="Q56" i="4" s="1"/>
  <c r="N56" i="4"/>
  <c r="U55" i="4" a="1"/>
  <c r="U55" i="4" s="1"/>
  <c r="R55" i="4" a="1"/>
  <c r="R55" i="4" s="1"/>
  <c r="S55" i="4" a="1"/>
  <c r="S55" i="4" s="1"/>
  <c r="M57" i="4"/>
  <c r="O60" i="16" l="1"/>
  <c r="N60" i="16"/>
  <c r="U60" i="16" s="1"/>
  <c r="R59" i="16"/>
  <c r="Q59" i="16"/>
  <c r="S59" i="16"/>
  <c r="M61" i="16"/>
  <c r="P60" i="16"/>
  <c r="O57" i="4"/>
  <c r="Q57" i="4" s="1"/>
  <c r="P57" i="4"/>
  <c r="N57" i="4"/>
  <c r="S56" i="4" a="1"/>
  <c r="S56" i="4" s="1"/>
  <c r="R56" i="4" a="1"/>
  <c r="R56" i="4" s="1"/>
  <c r="U56" i="4" a="1"/>
  <c r="U56" i="4" s="1"/>
  <c r="M58" i="4"/>
  <c r="O61" i="16" l="1"/>
  <c r="N61" i="16"/>
  <c r="U61" i="16" s="1"/>
  <c r="S60" i="16"/>
  <c r="Q60" i="16"/>
  <c r="R60" i="16"/>
  <c r="P61" i="16"/>
  <c r="M62" i="16"/>
  <c r="O58" i="4"/>
  <c r="Q58" i="4" s="1"/>
  <c r="N58" i="4"/>
  <c r="P58" i="4"/>
  <c r="M59" i="4"/>
  <c r="S57" i="4" a="1"/>
  <c r="S57" i="4" s="1"/>
  <c r="R57" i="4" a="1"/>
  <c r="R57" i="4" s="1"/>
  <c r="U57" i="4" a="1"/>
  <c r="U57" i="4" s="1"/>
  <c r="O62" i="16" l="1"/>
  <c r="N62" i="16"/>
  <c r="U62" i="16" s="1"/>
  <c r="Q61" i="16"/>
  <c r="R61" i="16"/>
  <c r="S61" i="16"/>
  <c r="M63" i="16"/>
  <c r="P62" i="16"/>
  <c r="P59" i="4"/>
  <c r="O59" i="4"/>
  <c r="Q59" i="4" s="1"/>
  <c r="N59" i="4"/>
  <c r="S58" i="4" a="1"/>
  <c r="S58" i="4" s="1"/>
  <c r="R58" i="4" a="1"/>
  <c r="R58" i="4" s="1"/>
  <c r="U58" i="4" a="1"/>
  <c r="U58" i="4" s="1"/>
  <c r="M60" i="4"/>
  <c r="O63" i="16" l="1"/>
  <c r="N63" i="16"/>
  <c r="U63" i="16" s="1"/>
  <c r="R62" i="16"/>
  <c r="Q62" i="16"/>
  <c r="S62" i="16"/>
  <c r="P63" i="16"/>
  <c r="M64" i="16"/>
  <c r="O60" i="4"/>
  <c r="Q60" i="4" s="1"/>
  <c r="P60" i="4"/>
  <c r="N60" i="4"/>
  <c r="M61" i="4"/>
  <c r="R59" i="4" a="1"/>
  <c r="R59" i="4" s="1"/>
  <c r="S59" i="4" a="1"/>
  <c r="S59" i="4" s="1"/>
  <c r="U59" i="4" a="1"/>
  <c r="U59" i="4" s="1"/>
  <c r="R63" i="16" l="1"/>
  <c r="Q63" i="16"/>
  <c r="S63" i="16"/>
  <c r="N64" i="16"/>
  <c r="U64" i="16" s="1"/>
  <c r="O64" i="16"/>
  <c r="M65" i="16"/>
  <c r="P64" i="16"/>
  <c r="O61" i="4"/>
  <c r="Q61" i="4" s="1"/>
  <c r="P61" i="4"/>
  <c r="N61" i="4"/>
  <c r="M62" i="4"/>
  <c r="S60" i="4" a="1"/>
  <c r="S60" i="4" s="1"/>
  <c r="R60" i="4" a="1"/>
  <c r="R60" i="4" s="1"/>
  <c r="U60" i="4" a="1"/>
  <c r="U60" i="4" s="1"/>
  <c r="N65" i="16" l="1"/>
  <c r="U65" i="16" s="1"/>
  <c r="O65" i="16"/>
  <c r="Q64" i="16"/>
  <c r="R64" i="16"/>
  <c r="S64" i="16"/>
  <c r="M66" i="16"/>
  <c r="P65" i="16"/>
  <c r="O62" i="4"/>
  <c r="Q62" i="4" s="1"/>
  <c r="P62" i="4"/>
  <c r="N62" i="4"/>
  <c r="R61" i="4" a="1"/>
  <c r="R61" i="4" s="1"/>
  <c r="S61" i="4" a="1"/>
  <c r="S61" i="4" s="1"/>
  <c r="M63" i="4"/>
  <c r="U61" i="4" a="1"/>
  <c r="U61" i="4" s="1"/>
  <c r="N66" i="16" l="1"/>
  <c r="U66" i="16" s="1"/>
  <c r="O66" i="16"/>
  <c r="R65" i="16"/>
  <c r="S65" i="16"/>
  <c r="Q65" i="16"/>
  <c r="M67" i="16"/>
  <c r="P66" i="16"/>
  <c r="O63" i="4"/>
  <c r="Q63" i="4" s="1"/>
  <c r="N63" i="4"/>
  <c r="P63" i="4"/>
  <c r="U62" i="4" a="1"/>
  <c r="U62" i="4" s="1"/>
  <c r="S62" i="4" a="1"/>
  <c r="S62" i="4" s="1"/>
  <c r="R62" i="4" a="1"/>
  <c r="R62" i="4" s="1"/>
  <c r="M64" i="4"/>
  <c r="O67" i="16" l="1"/>
  <c r="N67" i="16"/>
  <c r="U67" i="16" s="1"/>
  <c r="S66" i="16"/>
  <c r="R66" i="16"/>
  <c r="Q66" i="16"/>
  <c r="M68" i="16"/>
  <c r="P67" i="16"/>
  <c r="O64" i="4"/>
  <c r="Q64" i="4" s="1"/>
  <c r="N64" i="4"/>
  <c r="P64" i="4"/>
  <c r="U63" i="4" a="1"/>
  <c r="U63" i="4" s="1"/>
  <c r="R63" i="4" a="1"/>
  <c r="R63" i="4" s="1"/>
  <c r="S63" i="4" a="1"/>
  <c r="S63" i="4" s="1"/>
  <c r="M65" i="4"/>
  <c r="O68" i="16" l="1"/>
  <c r="N68" i="16"/>
  <c r="U68" i="16" s="1"/>
  <c r="Q67" i="16"/>
  <c r="S67" i="16"/>
  <c r="R67" i="16"/>
  <c r="P68" i="16"/>
  <c r="M69" i="16"/>
  <c r="P65" i="4"/>
  <c r="O65" i="4"/>
  <c r="Q65" i="4" s="1"/>
  <c r="N65" i="4"/>
  <c r="R64" i="4" a="1"/>
  <c r="R64" i="4" s="1"/>
  <c r="S64" i="4" a="1"/>
  <c r="S64" i="4" s="1"/>
  <c r="U64" i="4" a="1"/>
  <c r="U64" i="4" s="1"/>
  <c r="M66" i="4"/>
  <c r="N69" i="16" l="1"/>
  <c r="U69" i="16" s="1"/>
  <c r="O69" i="16"/>
  <c r="S68" i="16"/>
  <c r="Q68" i="16"/>
  <c r="R68" i="16"/>
  <c r="M70" i="16"/>
  <c r="P69" i="16"/>
  <c r="P66" i="4"/>
  <c r="O66" i="4"/>
  <c r="Q66" i="4" s="1"/>
  <c r="N66" i="4"/>
  <c r="M67" i="4"/>
  <c r="S65" i="4" a="1"/>
  <c r="S65" i="4" s="1"/>
  <c r="R65" i="4" a="1"/>
  <c r="R65" i="4" s="1"/>
  <c r="U65" i="4" a="1"/>
  <c r="U65" i="4" s="1"/>
  <c r="R69" i="16" l="1"/>
  <c r="Q69" i="16"/>
  <c r="S69" i="16"/>
  <c r="O70" i="16"/>
  <c r="N70" i="16"/>
  <c r="U70" i="16" s="1"/>
  <c r="M71" i="16"/>
  <c r="P70" i="16"/>
  <c r="O67" i="4"/>
  <c r="Q67" i="4" s="1"/>
  <c r="P67" i="4"/>
  <c r="N67" i="4"/>
  <c r="U66" i="4" a="1"/>
  <c r="U66" i="4" s="1"/>
  <c r="S66" i="4" a="1"/>
  <c r="S66" i="4" s="1"/>
  <c r="R66" i="4" a="1"/>
  <c r="R66" i="4" s="1"/>
  <c r="M68" i="4"/>
  <c r="O71" i="16" l="1"/>
  <c r="N71" i="16"/>
  <c r="U71" i="16" s="1"/>
  <c r="R70" i="16"/>
  <c r="Q70" i="16"/>
  <c r="S70" i="16"/>
  <c r="P71" i="16"/>
  <c r="M72" i="16"/>
  <c r="O68" i="4"/>
  <c r="Q68" i="4" s="1"/>
  <c r="P68" i="4"/>
  <c r="N68" i="4"/>
  <c r="M69" i="4"/>
  <c r="R67" i="4" a="1"/>
  <c r="R67" i="4" s="1"/>
  <c r="S67" i="4" a="1"/>
  <c r="S67" i="4" s="1"/>
  <c r="U67" i="4" a="1"/>
  <c r="U67" i="4" s="1"/>
  <c r="N72" i="16" l="1"/>
  <c r="U72" i="16" s="1"/>
  <c r="O72" i="16"/>
  <c r="Q71" i="16"/>
  <c r="S71" i="16"/>
  <c r="R71" i="16"/>
  <c r="M73" i="16"/>
  <c r="P72" i="16"/>
  <c r="O69" i="4"/>
  <c r="Q69" i="4" s="1"/>
  <c r="N69" i="4"/>
  <c r="P69" i="4"/>
  <c r="R68" i="4" a="1"/>
  <c r="R68" i="4" s="1"/>
  <c r="S68" i="4" a="1"/>
  <c r="S68" i="4" s="1"/>
  <c r="M70" i="4"/>
  <c r="U68" i="4" a="1"/>
  <c r="U68" i="4" s="1"/>
  <c r="S72" i="16" l="1"/>
  <c r="R72" i="16"/>
  <c r="Q72" i="16"/>
  <c r="O73" i="16"/>
  <c r="N73" i="16"/>
  <c r="U73" i="16" s="1"/>
  <c r="M74" i="16"/>
  <c r="P73" i="16"/>
  <c r="O70" i="4"/>
  <c r="Q70" i="4" s="1"/>
  <c r="P70" i="4"/>
  <c r="N70" i="4"/>
  <c r="M71" i="4"/>
  <c r="R69" i="4" a="1"/>
  <c r="R69" i="4" s="1"/>
  <c r="S69" i="4" a="1"/>
  <c r="S69" i="4" s="1"/>
  <c r="U69" i="4" a="1"/>
  <c r="U69" i="4" s="1"/>
  <c r="O74" i="16" l="1"/>
  <c r="N74" i="16"/>
  <c r="U74" i="16" s="1"/>
  <c r="S73" i="16"/>
  <c r="R73" i="16"/>
  <c r="Q73" i="16"/>
  <c r="M75" i="16"/>
  <c r="P74" i="16"/>
  <c r="O71" i="4"/>
  <c r="Q71" i="4" s="1"/>
  <c r="N71" i="4"/>
  <c r="P71" i="4"/>
  <c r="M72" i="4"/>
  <c r="S70" i="4" a="1"/>
  <c r="S70" i="4" s="1"/>
  <c r="R70" i="4" a="1"/>
  <c r="R70" i="4" s="1"/>
  <c r="U70" i="4" a="1"/>
  <c r="U70" i="4" s="1"/>
  <c r="R74" i="16" l="1"/>
  <c r="Q74" i="16"/>
  <c r="S74" i="16"/>
  <c r="O75" i="16"/>
  <c r="N75" i="16"/>
  <c r="U75" i="16" s="1"/>
  <c r="M76" i="16"/>
  <c r="P75" i="16"/>
  <c r="N72" i="4"/>
  <c r="P72" i="4"/>
  <c r="O72" i="4"/>
  <c r="Q72" i="4" s="1"/>
  <c r="R71" i="4" a="1"/>
  <c r="R71" i="4" s="1"/>
  <c r="S71" i="4" a="1"/>
  <c r="S71" i="4" s="1"/>
  <c r="M73" i="4"/>
  <c r="U71" i="4" a="1"/>
  <c r="U71" i="4" s="1"/>
  <c r="O76" i="16" l="1"/>
  <c r="N76" i="16"/>
  <c r="U76" i="16" s="1"/>
  <c r="S75" i="16"/>
  <c r="Q75" i="16"/>
  <c r="R75" i="16"/>
  <c r="P76" i="16"/>
  <c r="M77" i="16"/>
  <c r="P73" i="4"/>
  <c r="O73" i="4"/>
  <c r="Q73" i="4" s="1"/>
  <c r="N73" i="4"/>
  <c r="R72" i="4" a="1"/>
  <c r="R72" i="4" s="1"/>
  <c r="S72" i="4" a="1"/>
  <c r="S72" i="4" s="1"/>
  <c r="U72" i="4" a="1"/>
  <c r="U72" i="4" s="1"/>
  <c r="M74" i="4"/>
  <c r="O77" i="16" l="1"/>
  <c r="N77" i="16"/>
  <c r="U77" i="16" s="1"/>
  <c r="S76" i="16"/>
  <c r="Q76" i="16"/>
  <c r="R76" i="16"/>
  <c r="M78" i="16"/>
  <c r="P77" i="16"/>
  <c r="O74" i="4"/>
  <c r="Q74" i="4" s="1"/>
  <c r="P74" i="4"/>
  <c r="N74" i="4"/>
  <c r="M75" i="4"/>
  <c r="R73" i="4" a="1"/>
  <c r="R73" i="4" s="1"/>
  <c r="S73" i="4" a="1"/>
  <c r="S73" i="4" s="1"/>
  <c r="U73" i="4" a="1"/>
  <c r="U73" i="4" s="1"/>
  <c r="O78" i="16" l="1"/>
  <c r="N78" i="16"/>
  <c r="U78" i="16" s="1"/>
  <c r="Q77" i="16"/>
  <c r="R77" i="16"/>
  <c r="S77" i="16"/>
  <c r="P78" i="16"/>
  <c r="O75" i="4"/>
  <c r="Q75" i="4" s="1"/>
  <c r="P75" i="4"/>
  <c r="N75" i="4"/>
  <c r="S74" i="4" a="1"/>
  <c r="S74" i="4" s="1"/>
  <c r="R74" i="4" a="1"/>
  <c r="R74" i="4" s="1"/>
  <c r="M76" i="4"/>
  <c r="U74" i="4" a="1"/>
  <c r="U74" i="4" s="1"/>
  <c r="R78" i="16" l="1"/>
  <c r="Q78" i="16"/>
  <c r="S78" i="16"/>
  <c r="O76" i="4"/>
  <c r="Q76" i="4" s="1"/>
  <c r="N76" i="4"/>
  <c r="P76" i="4"/>
  <c r="R75" i="4" a="1"/>
  <c r="R75" i="4" s="1"/>
  <c r="S75" i="4" a="1"/>
  <c r="S75" i="4" s="1"/>
  <c r="M77" i="4"/>
  <c r="U75" i="4" a="1"/>
  <c r="U75" i="4" s="1"/>
  <c r="N77" i="4" l="1"/>
  <c r="O77" i="4"/>
  <c r="Q77" i="4" s="1"/>
  <c r="P77" i="4"/>
  <c r="M78" i="4"/>
  <c r="R76" i="4" a="1"/>
  <c r="R76" i="4" s="1"/>
  <c r="S76" i="4" a="1"/>
  <c r="S76" i="4" s="1"/>
  <c r="U76" i="4" a="1"/>
  <c r="U76" i="4" s="1"/>
  <c r="P78" i="4" l="1"/>
  <c r="O78" i="4"/>
  <c r="Q78" i="4" s="1"/>
  <c r="N78" i="4"/>
  <c r="U77" i="4" a="1"/>
  <c r="U77" i="4" s="1"/>
  <c r="M79" i="4"/>
  <c r="S77" i="4" a="1"/>
  <c r="S77" i="4" s="1"/>
  <c r="R77" i="4" a="1"/>
  <c r="R77" i="4" s="1"/>
  <c r="O79" i="4" l="1"/>
  <c r="Q79" i="4" s="1"/>
  <c r="P79" i="4"/>
  <c r="N79" i="4"/>
  <c r="M80" i="4"/>
  <c r="S78" i="4" a="1"/>
  <c r="S78" i="4" s="1"/>
  <c r="R78" i="4" a="1"/>
  <c r="R78" i="4" s="1"/>
  <c r="U78" i="4" a="1"/>
  <c r="U78" i="4" s="1"/>
  <c r="O80" i="4" l="1"/>
  <c r="Q80" i="4" s="1"/>
  <c r="N80" i="4"/>
  <c r="P80" i="4"/>
  <c r="M81" i="4"/>
  <c r="R79" i="4" a="1"/>
  <c r="R79" i="4" s="1"/>
  <c r="S79" i="4" a="1"/>
  <c r="S79" i="4" s="1"/>
  <c r="U79" i="4" a="1"/>
  <c r="U79" i="4" s="1"/>
  <c r="O81" i="4" l="1"/>
  <c r="Q81" i="4" s="1"/>
  <c r="P81" i="4"/>
  <c r="N81" i="4"/>
  <c r="R80" i="4" a="1"/>
  <c r="R80" i="4" s="1"/>
  <c r="S80" i="4" a="1"/>
  <c r="S80" i="4" s="1"/>
  <c r="U80" i="4" a="1"/>
  <c r="U80" i="4" s="1"/>
  <c r="M82" i="4"/>
  <c r="O82" i="4" l="1"/>
  <c r="Q82" i="4" s="1"/>
  <c r="P82" i="4"/>
  <c r="N82" i="4"/>
  <c r="M83" i="4"/>
  <c r="U81" i="4" a="1"/>
  <c r="U81" i="4" s="1"/>
  <c r="S81" i="4" a="1"/>
  <c r="S81" i="4" s="1"/>
  <c r="R81" i="4" a="1"/>
  <c r="R81" i="4" s="1"/>
  <c r="O83" i="4" l="1"/>
  <c r="Q83" i="4" s="1"/>
  <c r="P83" i="4"/>
  <c r="N83" i="4"/>
  <c r="U82" i="4" a="1"/>
  <c r="U82" i="4" s="1"/>
  <c r="M84" i="4"/>
  <c r="S82" i="4" a="1"/>
  <c r="S82" i="4" s="1"/>
  <c r="R82" i="4" a="1"/>
  <c r="R82" i="4" s="1"/>
  <c r="N84" i="4" l="1"/>
  <c r="O84" i="4"/>
  <c r="Q84" i="4" s="1"/>
  <c r="P84" i="4"/>
  <c r="U83" i="4" a="1"/>
  <c r="U83" i="4" s="1"/>
  <c r="M85" i="4"/>
  <c r="R83" i="4" a="1"/>
  <c r="R83" i="4" s="1"/>
  <c r="S83" i="4" a="1"/>
  <c r="S83" i="4" s="1"/>
  <c r="N85" i="4" l="1"/>
  <c r="O85" i="4"/>
  <c r="Q85" i="4" s="1"/>
  <c r="P85" i="4"/>
  <c r="M86" i="4"/>
  <c r="S84" i="4" a="1"/>
  <c r="S84" i="4" s="1"/>
  <c r="R84" i="4" a="1"/>
  <c r="R84" i="4" s="1"/>
  <c r="U84" i="4" a="1"/>
  <c r="U84" i="4" s="1"/>
  <c r="O86" i="4" l="1"/>
  <c r="Q86" i="4" s="1"/>
  <c r="N86" i="4"/>
  <c r="P86" i="4"/>
  <c r="S85" i="4" a="1"/>
  <c r="S85" i="4" s="1"/>
  <c r="R85" i="4" a="1"/>
  <c r="R85" i="4" s="1"/>
  <c r="M87" i="4"/>
  <c r="U85" i="4" a="1"/>
  <c r="U85" i="4" s="1"/>
  <c r="P87" i="4" l="1"/>
  <c r="O87" i="4"/>
  <c r="Q87" i="4" s="1"/>
  <c r="N87" i="4"/>
  <c r="U86" i="4" a="1"/>
  <c r="U86" i="4" s="1"/>
  <c r="M88" i="4"/>
  <c r="S86" i="4" a="1"/>
  <c r="S86" i="4" s="1"/>
  <c r="R86" i="4" a="1"/>
  <c r="R86" i="4" s="1"/>
  <c r="P88" i="4" l="1"/>
  <c r="N88" i="4"/>
  <c r="O88" i="4"/>
  <c r="Q88" i="4" s="1"/>
  <c r="M89" i="4"/>
  <c r="R87" i="4" a="1"/>
  <c r="R87" i="4" s="1"/>
  <c r="S87" i="4" a="1"/>
  <c r="S87" i="4" s="1"/>
  <c r="U87" i="4" a="1"/>
  <c r="U87" i="4" s="1"/>
  <c r="O89" i="4" l="1"/>
  <c r="Q89" i="4" s="1"/>
  <c r="P89" i="4"/>
  <c r="N89" i="4"/>
  <c r="U88" i="4" a="1"/>
  <c r="U88" i="4" s="1"/>
  <c r="R88" i="4" a="1"/>
  <c r="R88" i="4" s="1"/>
  <c r="S88" i="4" a="1"/>
  <c r="S88" i="4" s="1"/>
  <c r="M90" i="4"/>
  <c r="O90" i="4" l="1"/>
  <c r="Q90" i="4" s="1"/>
  <c r="P90" i="4"/>
  <c r="N90" i="4"/>
  <c r="U89" i="4" a="1"/>
  <c r="U89" i="4" s="1"/>
  <c r="S89" i="4" a="1"/>
  <c r="S89" i="4" s="1"/>
  <c r="R89" i="4" a="1"/>
  <c r="R89" i="4" s="1"/>
  <c r="M91" i="4"/>
  <c r="O91" i="4" l="1"/>
  <c r="Q91" i="4" s="1"/>
  <c r="P91" i="4"/>
  <c r="N91" i="4"/>
  <c r="S90" i="4" a="1"/>
  <c r="S90" i="4" s="1"/>
  <c r="R90" i="4" a="1"/>
  <c r="R90" i="4" s="1"/>
  <c r="U90" i="4" a="1"/>
  <c r="U90" i="4" s="1"/>
  <c r="M92" i="4"/>
  <c r="P92" i="4" l="1"/>
  <c r="O92" i="4"/>
  <c r="Q92" i="4" s="1"/>
  <c r="N92" i="4"/>
  <c r="R91" i="4" a="1"/>
  <c r="R91" i="4" s="1"/>
  <c r="S91" i="4" a="1"/>
  <c r="S91" i="4" s="1"/>
  <c r="U91" i="4" a="1"/>
  <c r="U91" i="4" s="1"/>
  <c r="M93" i="4"/>
  <c r="P93" i="4" l="1"/>
  <c r="N93" i="4"/>
  <c r="O93" i="4"/>
  <c r="Q93" i="4" s="1"/>
  <c r="U92" i="4" a="1"/>
  <c r="U92" i="4" s="1"/>
  <c r="M94" i="4"/>
  <c r="R92" i="4" a="1"/>
  <c r="R92" i="4" s="1"/>
  <c r="S92" i="4" a="1"/>
  <c r="S92" i="4" s="1"/>
  <c r="P94" i="4" l="1"/>
  <c r="N94" i="4"/>
  <c r="O94" i="4"/>
  <c r="Q94" i="4" s="1"/>
  <c r="U93" i="4" a="1"/>
  <c r="U93" i="4" s="1"/>
  <c r="M95" i="4"/>
  <c r="R93" i="4" a="1"/>
  <c r="R93" i="4" s="1"/>
  <c r="S93" i="4" a="1"/>
  <c r="S93" i="4" s="1"/>
  <c r="P95" i="4" l="1"/>
  <c r="O95" i="4"/>
  <c r="Q95" i="4" s="1"/>
  <c r="N95" i="4"/>
  <c r="M96" i="4"/>
  <c r="U94" i="4" a="1"/>
  <c r="U94" i="4" s="1"/>
  <c r="S94" i="4" a="1"/>
  <c r="S94" i="4" s="1"/>
  <c r="R94" i="4" a="1"/>
  <c r="R94" i="4" s="1"/>
  <c r="O96" i="4" l="1"/>
  <c r="Q96" i="4" s="1"/>
  <c r="N96" i="4"/>
  <c r="P96" i="4"/>
  <c r="M97" i="4"/>
  <c r="R95" i="4" a="1"/>
  <c r="R95" i="4" s="1"/>
  <c r="S95" i="4" a="1"/>
  <c r="S95" i="4" s="1"/>
  <c r="U95" i="4" a="1"/>
  <c r="U95" i="4" s="1"/>
  <c r="O97" i="4" l="1"/>
  <c r="Q97" i="4" s="1"/>
  <c r="P97" i="4"/>
  <c r="N97" i="4"/>
  <c r="M98" i="4"/>
  <c r="S96" i="4" a="1"/>
  <c r="S96" i="4" s="1"/>
  <c r="R96" i="4" a="1"/>
  <c r="R96" i="4" s="1"/>
  <c r="U96" i="4" a="1"/>
  <c r="U96" i="4" s="1"/>
  <c r="O98" i="4" l="1"/>
  <c r="Q98" i="4" s="1"/>
  <c r="P98" i="4"/>
  <c r="N98" i="4"/>
  <c r="S97" i="4" a="1"/>
  <c r="S97" i="4" s="1"/>
  <c r="R97" i="4" a="1"/>
  <c r="R97" i="4" s="1"/>
  <c r="M99" i="4"/>
  <c r="U97" i="4" a="1"/>
  <c r="U97" i="4" s="1"/>
  <c r="O99" i="4" l="1"/>
  <c r="Q99" i="4" s="1"/>
  <c r="P99" i="4"/>
  <c r="N99" i="4"/>
  <c r="U98" i="4" a="1"/>
  <c r="U98" i="4" s="1"/>
  <c r="S98" i="4" a="1"/>
  <c r="S98" i="4" s="1"/>
  <c r="R98" i="4" a="1"/>
  <c r="R98" i="4" s="1"/>
  <c r="M100" i="4"/>
  <c r="P100" i="4" l="1"/>
  <c r="N100" i="4"/>
  <c r="O100" i="4"/>
  <c r="Q100" i="4" s="1"/>
  <c r="U99" i="4" a="1"/>
  <c r="U99" i="4" s="1"/>
  <c r="M101" i="4"/>
  <c r="R99" i="4" a="1"/>
  <c r="R99" i="4" s="1"/>
  <c r="S99" i="4" a="1"/>
  <c r="S99" i="4" s="1"/>
  <c r="O101" i="4" l="1"/>
  <c r="Q101" i="4" s="1"/>
  <c r="P101" i="4"/>
  <c r="N101" i="4"/>
  <c r="S100" i="4" a="1"/>
  <c r="S100" i="4" s="1"/>
  <c r="R100" i="4" a="1"/>
  <c r="R100" i="4" s="1"/>
  <c r="M102" i="4"/>
  <c r="U100" i="4" a="1"/>
  <c r="U100" i="4" s="1"/>
  <c r="O102" i="4" l="1"/>
  <c r="Q102" i="4" s="1"/>
  <c r="P102" i="4"/>
  <c r="N102" i="4"/>
  <c r="S101" i="4" a="1"/>
  <c r="S101" i="4" s="1"/>
  <c r="R101" i="4" a="1"/>
  <c r="R101" i="4" s="1"/>
  <c r="M103" i="4"/>
  <c r="U101" i="4" a="1"/>
  <c r="U101" i="4" s="1"/>
  <c r="P103" i="4" l="1"/>
  <c r="O103" i="4"/>
  <c r="Q103" i="4" s="1"/>
  <c r="N103" i="4"/>
  <c r="M104" i="4"/>
  <c r="R102" i="4" a="1"/>
  <c r="R102" i="4" s="1"/>
  <c r="S102" i="4" a="1"/>
  <c r="S102" i="4" s="1"/>
  <c r="U102" i="4" a="1"/>
  <c r="U102" i="4" s="1"/>
  <c r="P104" i="4" l="1"/>
  <c r="N104" i="4"/>
  <c r="O104" i="4"/>
  <c r="Q104" i="4" s="1"/>
  <c r="M105" i="4"/>
  <c r="R103" i="4" a="1"/>
  <c r="R103" i="4" s="1"/>
  <c r="S103" i="4" a="1"/>
  <c r="S103" i="4" s="1"/>
  <c r="U103" i="4" a="1"/>
  <c r="U103" i="4" s="1"/>
  <c r="O105" i="4" l="1"/>
  <c r="Q105" i="4" s="1"/>
  <c r="P105" i="4"/>
  <c r="N105" i="4"/>
  <c r="R104" i="4" a="1"/>
  <c r="R104" i="4" s="1"/>
  <c r="S104" i="4" a="1"/>
  <c r="S104" i="4" s="1"/>
  <c r="M106" i="4"/>
  <c r="U104" i="4" a="1"/>
  <c r="U104" i="4" s="1"/>
  <c r="O106" i="4" l="1"/>
  <c r="Q106" i="4" s="1"/>
  <c r="P106" i="4"/>
  <c r="N106" i="4"/>
  <c r="S105" i="4" a="1"/>
  <c r="S105" i="4" s="1"/>
  <c r="R105" i="4" a="1"/>
  <c r="R105" i="4" s="1"/>
  <c r="U105" i="4" a="1"/>
  <c r="U105" i="4" s="1"/>
  <c r="M107" i="4"/>
  <c r="O107" i="4" l="1"/>
  <c r="Q107" i="4" s="1"/>
  <c r="N107" i="4"/>
  <c r="P107" i="4"/>
  <c r="M108" i="4"/>
  <c r="U106" i="4" a="1"/>
  <c r="U106" i="4" s="1"/>
  <c r="S106" i="4" a="1"/>
  <c r="S106" i="4" s="1"/>
  <c r="R106" i="4" a="1"/>
  <c r="R106" i="4" s="1"/>
  <c r="O108" i="4" l="1"/>
  <c r="Q108" i="4" s="1"/>
  <c r="P108" i="4"/>
  <c r="N108" i="4"/>
  <c r="U107" i="4" a="1"/>
  <c r="U107" i="4" s="1"/>
  <c r="M109" i="4"/>
  <c r="R107" i="4" a="1"/>
  <c r="R107" i="4" s="1"/>
  <c r="S107" i="4" a="1"/>
  <c r="S107" i="4" s="1"/>
  <c r="O109" i="4" l="1"/>
  <c r="Q109" i="4" s="1"/>
  <c r="P109" i="4"/>
  <c r="N109" i="4"/>
  <c r="U108" i="4" a="1"/>
  <c r="U108" i="4" s="1"/>
  <c r="M110" i="4"/>
  <c r="R108" i="4" a="1"/>
  <c r="R108" i="4" s="1"/>
  <c r="S108" i="4" a="1"/>
  <c r="S108" i="4" s="1"/>
  <c r="O110" i="4" l="1"/>
  <c r="Q110" i="4" s="1"/>
  <c r="P110" i="4"/>
  <c r="N110" i="4"/>
  <c r="M111" i="4"/>
  <c r="U109" i="4" a="1"/>
  <c r="U109" i="4" s="1"/>
  <c r="R109" i="4" a="1"/>
  <c r="R109" i="4" s="1"/>
  <c r="S109" i="4" a="1"/>
  <c r="S109" i="4" s="1"/>
  <c r="O111" i="4" l="1"/>
  <c r="Q111" i="4" s="1"/>
  <c r="P111" i="4"/>
  <c r="N111" i="4"/>
  <c r="R110" i="4" a="1"/>
  <c r="R110" i="4" s="1"/>
  <c r="S110" i="4" a="1"/>
  <c r="S110" i="4" s="1"/>
  <c r="U110" i="4" a="1"/>
  <c r="U110" i="4" s="1"/>
  <c r="M112" i="4"/>
  <c r="N112" i="4" l="1"/>
  <c r="P112" i="4"/>
  <c r="O112" i="4"/>
  <c r="Q112" i="4" s="1"/>
  <c r="U111" i="4" a="1"/>
  <c r="U111" i="4" s="1"/>
  <c r="S111" i="4" a="1"/>
  <c r="S111" i="4" s="1"/>
  <c r="R111" i="4" a="1"/>
  <c r="R111" i="4" s="1"/>
  <c r="M113" i="4"/>
  <c r="O113" i="4" l="1"/>
  <c r="Q113" i="4" s="1"/>
  <c r="P113" i="4"/>
  <c r="N113" i="4"/>
  <c r="U112" i="4" a="1"/>
  <c r="U112" i="4" s="1"/>
  <c r="M114" i="4"/>
  <c r="R112" i="4" a="1"/>
  <c r="R112" i="4" s="1"/>
  <c r="S112" i="4" a="1"/>
  <c r="S112" i="4" s="1"/>
  <c r="O114" i="4" l="1"/>
  <c r="Q114" i="4" s="1"/>
  <c r="P114" i="4"/>
  <c r="N114" i="4"/>
  <c r="U113" i="4" a="1"/>
  <c r="U113" i="4" s="1"/>
  <c r="M115" i="4"/>
  <c r="S113" i="4" a="1"/>
  <c r="S113" i="4" s="1"/>
  <c r="R113" i="4" a="1"/>
  <c r="R113" i="4" s="1"/>
  <c r="O115" i="4" l="1"/>
  <c r="Q115" i="4" s="1"/>
  <c r="N115" i="4"/>
  <c r="P115" i="4"/>
  <c r="M116" i="4"/>
  <c r="S114" i="4" a="1"/>
  <c r="S114" i="4" s="1"/>
  <c r="R114" i="4" a="1"/>
  <c r="R114" i="4" s="1"/>
  <c r="U114" i="4" a="1"/>
  <c r="U114" i="4" s="1"/>
  <c r="O116" i="4" l="1"/>
  <c r="Q116" i="4" s="1"/>
  <c r="P116" i="4"/>
  <c r="N116" i="4"/>
  <c r="U115" i="4" a="1"/>
  <c r="U115" i="4" s="1"/>
  <c r="M117" i="4"/>
  <c r="R115" i="4" a="1"/>
  <c r="R115" i="4" s="1"/>
  <c r="S115" i="4" a="1"/>
  <c r="S115" i="4" s="1"/>
  <c r="O117" i="4" l="1"/>
  <c r="Q117" i="4" s="1"/>
  <c r="P117" i="4"/>
  <c r="N117" i="4"/>
  <c r="U116" i="4" a="1"/>
  <c r="U116" i="4" s="1"/>
  <c r="M118" i="4"/>
  <c r="R116" i="4" a="1"/>
  <c r="R116" i="4" s="1"/>
  <c r="S116" i="4" a="1"/>
  <c r="S116" i="4" s="1"/>
  <c r="O118" i="4" l="1"/>
  <c r="Q118" i="4" s="1"/>
  <c r="P118" i="4"/>
  <c r="N118" i="4"/>
  <c r="U117" i="4" a="1"/>
  <c r="U117" i="4" s="1"/>
  <c r="M119" i="4"/>
  <c r="M120" i="4" s="1"/>
  <c r="R117" i="4" a="1"/>
  <c r="R117" i="4" s="1"/>
  <c r="S117" i="4" a="1"/>
  <c r="S117" i="4" s="1"/>
  <c r="P120" i="4" l="1"/>
  <c r="N120" i="4"/>
  <c r="O120" i="4"/>
  <c r="P119" i="4"/>
  <c r="N119" i="4"/>
  <c r="O119" i="4"/>
  <c r="Q119" i="4" s="1"/>
  <c r="R118" i="4" a="1"/>
  <c r="R118" i="4" s="1"/>
  <c r="S118" i="4" a="1"/>
  <c r="S118" i="4" s="1"/>
  <c r="U118" i="4" a="1"/>
  <c r="U118" i="4" s="1"/>
  <c r="R120" i="4" l="1" a="1"/>
  <c r="R120" i="4" s="1"/>
  <c r="S120" i="4" a="1"/>
  <c r="S120" i="4" s="1"/>
  <c r="Q120" i="4"/>
  <c r="U120" i="4" a="1"/>
  <c r="U120" i="4" s="1"/>
  <c r="R119" i="4" a="1"/>
  <c r="R119" i="4" s="1"/>
  <c r="S119" i="4" a="1"/>
  <c r="S119" i="4" s="1"/>
  <c r="M121" i="4"/>
  <c r="U119" i="4" a="1"/>
  <c r="U119" i="4" s="1"/>
  <c r="O121" i="4" l="1"/>
  <c r="Q121" i="4" s="1"/>
  <c r="P121" i="4"/>
  <c r="N121" i="4"/>
  <c r="M122" i="4"/>
  <c r="N122" i="4" l="1"/>
  <c r="O122" i="4"/>
  <c r="Q122" i="4" s="1"/>
  <c r="P122" i="4"/>
  <c r="U121" i="4" a="1"/>
  <c r="U121" i="4" s="1"/>
  <c r="R121" i="4" a="1"/>
  <c r="R121" i="4" s="1"/>
  <c r="S121" i="4" a="1"/>
  <c r="S121" i="4" s="1"/>
  <c r="M123" i="4"/>
  <c r="P123" i="4" l="1"/>
  <c r="N123" i="4"/>
  <c r="O123" i="4"/>
  <c r="Q123" i="4" s="1"/>
  <c r="U122" i="4" a="1"/>
  <c r="U122" i="4" s="1"/>
  <c r="M124" i="4"/>
  <c r="R122" i="4" a="1"/>
  <c r="R122" i="4" s="1"/>
  <c r="S122" i="4" a="1"/>
  <c r="S122" i="4" s="1"/>
  <c r="O124" i="4" l="1"/>
  <c r="Q124" i="4" s="1"/>
  <c r="P124" i="4"/>
  <c r="N124" i="4"/>
  <c r="M125" i="4"/>
  <c r="S123" i="4" a="1"/>
  <c r="S123" i="4" s="1"/>
  <c r="R123" i="4" a="1"/>
  <c r="R123" i="4" s="1"/>
  <c r="U123" i="4" a="1"/>
  <c r="U123" i="4" s="1"/>
  <c r="O125" i="4" l="1"/>
  <c r="Q125" i="4" s="1"/>
  <c r="P125" i="4"/>
  <c r="N125" i="4"/>
  <c r="S124" i="4" a="1"/>
  <c r="S124" i="4" s="1"/>
  <c r="R124" i="4" a="1"/>
  <c r="R124" i="4" s="1"/>
  <c r="M126" i="4"/>
  <c r="U124" i="4" a="1"/>
  <c r="U124" i="4" s="1"/>
  <c r="O126" i="4" l="1"/>
  <c r="Q126" i="4" s="1"/>
  <c r="P126" i="4"/>
  <c r="N126" i="4"/>
  <c r="U125" i="4" a="1"/>
  <c r="U125" i="4" s="1"/>
  <c r="M127" i="4"/>
  <c r="S125" i="4" a="1"/>
  <c r="S125" i="4" s="1"/>
  <c r="R125" i="4" a="1"/>
  <c r="R125" i="4" s="1"/>
  <c r="N127" i="4" l="1"/>
  <c r="O127" i="4"/>
  <c r="Q127" i="4" s="1"/>
  <c r="P127" i="4"/>
  <c r="U126" i="4" a="1"/>
  <c r="U126" i="4" s="1"/>
  <c r="M128" i="4"/>
  <c r="R126" i="4" a="1"/>
  <c r="R126" i="4" s="1"/>
  <c r="S126" i="4" a="1"/>
  <c r="S126" i="4" s="1"/>
  <c r="O128" i="4" l="1"/>
  <c r="Q128" i="4" s="1"/>
  <c r="P128" i="4"/>
  <c r="N128" i="4"/>
  <c r="U127" i="4" a="1"/>
  <c r="U127" i="4" s="1"/>
  <c r="M133" i="4"/>
  <c r="R127" i="4" a="1"/>
  <c r="R127" i="4" s="1"/>
  <c r="S127" i="4" a="1"/>
  <c r="S127" i="4" s="1"/>
  <c r="N133" i="4" l="1"/>
  <c r="P133" i="4"/>
  <c r="O133" i="4"/>
  <c r="Q133" i="4" s="1"/>
  <c r="M138" i="4"/>
  <c r="S128" i="4" a="1"/>
  <c r="S128" i="4" s="1"/>
  <c r="R128" i="4" a="1"/>
  <c r="R128" i="4" s="1"/>
  <c r="U128" i="4" a="1"/>
  <c r="U128" i="4" s="1"/>
  <c r="P138" i="4" l="1"/>
  <c r="O138" i="4"/>
  <c r="Q138" i="4" s="1"/>
  <c r="N138" i="4"/>
  <c r="R133" i="4" a="1"/>
  <c r="R133" i="4" s="1"/>
  <c r="S133" i="4" a="1"/>
  <c r="S133" i="4" s="1"/>
  <c r="U133" i="4" a="1"/>
  <c r="U133" i="4" s="1"/>
  <c r="M139" i="4"/>
  <c r="P139" i="4" l="1"/>
  <c r="O139" i="4"/>
  <c r="Q139" i="4" s="1"/>
  <c r="N139" i="4"/>
  <c r="U138" i="4" a="1"/>
  <c r="U138" i="4" s="1"/>
  <c r="R138" i="4" a="1"/>
  <c r="R138" i="4" s="1"/>
  <c r="S138" i="4" a="1"/>
  <c r="S138" i="4" s="1"/>
  <c r="M140" i="4"/>
  <c r="O140" i="4" l="1"/>
  <c r="Q140" i="4" s="1"/>
  <c r="P140" i="4"/>
  <c r="N140" i="4"/>
  <c r="U139" i="4" a="1"/>
  <c r="U139" i="4" s="1"/>
  <c r="M141" i="4"/>
  <c r="R139" i="4" a="1"/>
  <c r="R139" i="4" s="1"/>
  <c r="S139" i="4" a="1"/>
  <c r="S139" i="4" s="1"/>
  <c r="O141" i="4" l="1"/>
  <c r="Q141" i="4" s="1"/>
  <c r="P141" i="4"/>
  <c r="N141" i="4"/>
  <c r="U140" i="4" a="1"/>
  <c r="U140" i="4" s="1"/>
  <c r="M142" i="4"/>
  <c r="S140" i="4" a="1"/>
  <c r="S140" i="4" s="1"/>
  <c r="R140" i="4" a="1"/>
  <c r="R140" i="4" s="1"/>
  <c r="O142" i="4" l="1"/>
  <c r="Q142" i="4" s="1"/>
  <c r="P142" i="4"/>
  <c r="N142" i="4"/>
  <c r="M143" i="4"/>
  <c r="U141" i="4" a="1"/>
  <c r="U141" i="4" s="1"/>
  <c r="S141" i="4" a="1"/>
  <c r="S141" i="4" s="1"/>
  <c r="R141" i="4" a="1"/>
  <c r="R141" i="4" s="1"/>
  <c r="O143" i="4" l="1"/>
  <c r="Q143" i="4" s="1"/>
  <c r="P143" i="4"/>
  <c r="N143" i="4"/>
  <c r="U142" i="4" a="1"/>
  <c r="U142" i="4" s="1"/>
  <c r="M144" i="4"/>
  <c r="R142" i="4" a="1"/>
  <c r="R142" i="4" s="1"/>
  <c r="S142" i="4" a="1"/>
  <c r="S142" i="4" s="1"/>
  <c r="P144" i="4" l="1"/>
  <c r="N144" i="4"/>
  <c r="O144" i="4"/>
  <c r="Q144" i="4" s="1"/>
  <c r="U143" i="4" a="1"/>
  <c r="U143" i="4" s="1"/>
  <c r="M145" i="4"/>
  <c r="R143" i="4" a="1"/>
  <c r="R143" i="4" s="1"/>
  <c r="S143" i="4" a="1"/>
  <c r="S143" i="4" s="1"/>
  <c r="P145" i="4" l="1"/>
  <c r="N145" i="4"/>
  <c r="O145" i="4"/>
  <c r="Q145" i="4" s="1"/>
  <c r="M146" i="4"/>
  <c r="U144" i="4" a="1"/>
  <c r="U144" i="4" s="1"/>
  <c r="R144" i="4" a="1"/>
  <c r="R144" i="4" s="1"/>
  <c r="S144" i="4" a="1"/>
  <c r="S144" i="4" s="1"/>
  <c r="O146" i="4" l="1"/>
  <c r="Q146" i="4" s="1"/>
  <c r="P146" i="4"/>
  <c r="N146" i="4"/>
  <c r="R145" i="4" a="1"/>
  <c r="R145" i="4" s="1"/>
  <c r="S145" i="4" a="1"/>
  <c r="S145" i="4" s="1"/>
  <c r="U145" i="4" a="1"/>
  <c r="U145" i="4" s="1"/>
  <c r="M147" i="4"/>
  <c r="P147" i="4" l="1"/>
  <c r="O147" i="4"/>
  <c r="Q147" i="4" s="1"/>
  <c r="N147" i="4"/>
  <c r="M148" i="4"/>
  <c r="U146" i="4" a="1"/>
  <c r="U146" i="4" s="1"/>
  <c r="S146" i="4" a="1"/>
  <c r="S146" i="4" s="1"/>
  <c r="R146" i="4" a="1"/>
  <c r="R146" i="4" s="1"/>
  <c r="O148" i="4" l="1"/>
  <c r="Q148" i="4" s="1"/>
  <c r="P148" i="4"/>
  <c r="N148" i="4"/>
  <c r="S147" i="4" a="1"/>
  <c r="S147" i="4" s="1"/>
  <c r="R147" i="4" a="1"/>
  <c r="R147" i="4" s="1"/>
  <c r="U147" i="4" a="1"/>
  <c r="U147" i="4" s="1"/>
  <c r="M149" i="4"/>
  <c r="P149" i="4" l="1"/>
  <c r="N149" i="4"/>
  <c r="O149" i="4"/>
  <c r="Q149" i="4" s="1"/>
  <c r="U148" i="4" a="1"/>
  <c r="U148" i="4" s="1"/>
  <c r="R148" i="4" a="1"/>
  <c r="R148" i="4" s="1"/>
  <c r="S148" i="4" a="1"/>
  <c r="S148" i="4" s="1"/>
  <c r="M150" i="4"/>
  <c r="N150" i="4" l="1"/>
  <c r="O150" i="4"/>
  <c r="Q150" i="4" s="1"/>
  <c r="P150" i="4"/>
  <c r="U149" i="4" a="1"/>
  <c r="U149" i="4" s="1"/>
  <c r="R149" i="4" a="1"/>
  <c r="R149" i="4" s="1"/>
  <c r="S149" i="4" a="1"/>
  <c r="S149" i="4" s="1"/>
  <c r="M151" i="4"/>
  <c r="O151" i="4" l="1"/>
  <c r="Q151" i="4" s="1"/>
  <c r="P151" i="4"/>
  <c r="N151" i="4"/>
  <c r="M152" i="4"/>
  <c r="U150" i="4" a="1"/>
  <c r="U150" i="4" s="1"/>
  <c r="R150" i="4" a="1"/>
  <c r="R150" i="4" s="1"/>
  <c r="S150" i="4" a="1"/>
  <c r="S150" i="4" s="1"/>
  <c r="O152" i="4" l="1"/>
  <c r="Q152" i="4" s="1"/>
  <c r="N152" i="4"/>
  <c r="P152" i="4"/>
  <c r="U151" i="4" a="1"/>
  <c r="U151" i="4" s="1"/>
  <c r="M153" i="4"/>
  <c r="S151" i="4" a="1"/>
  <c r="S151" i="4" s="1"/>
  <c r="R151" i="4" a="1"/>
  <c r="R151" i="4" s="1"/>
  <c r="O153" i="4" l="1"/>
  <c r="Q153" i="4" s="1"/>
  <c r="P153" i="4"/>
  <c r="N153" i="4"/>
  <c r="M154" i="4"/>
  <c r="U152" i="4" a="1"/>
  <c r="U152" i="4" s="1"/>
  <c r="R152" i="4" a="1"/>
  <c r="R152" i="4" s="1"/>
  <c r="S152" i="4" a="1"/>
  <c r="S152" i="4" s="1"/>
  <c r="O154" i="4" l="1"/>
  <c r="Q154" i="4" s="1"/>
  <c r="P154" i="4"/>
  <c r="N154" i="4"/>
  <c r="U153" i="4" a="1"/>
  <c r="U153" i="4" s="1"/>
  <c r="R153" i="4" a="1"/>
  <c r="R153" i="4" s="1"/>
  <c r="S153" i="4" a="1"/>
  <c r="S153" i="4" s="1"/>
  <c r="M155" i="4"/>
  <c r="P155" i="4" l="1"/>
  <c r="O155" i="4"/>
  <c r="Q155" i="4" s="1"/>
  <c r="N155" i="4"/>
  <c r="U154" i="4" a="1"/>
  <c r="U154" i="4" s="1"/>
  <c r="R154" i="4" a="1"/>
  <c r="R154" i="4" s="1"/>
  <c r="S154" i="4" a="1"/>
  <c r="S154" i="4" s="1"/>
  <c r="M156" i="4"/>
  <c r="O156" i="4" l="1"/>
  <c r="Q156" i="4" s="1"/>
  <c r="P156" i="4"/>
  <c r="N156" i="4"/>
  <c r="M157" i="4"/>
  <c r="U155" i="4" a="1"/>
  <c r="U155" i="4" s="1"/>
  <c r="R155" i="4" a="1"/>
  <c r="R155" i="4" s="1"/>
  <c r="S155" i="4" a="1"/>
  <c r="S155" i="4" s="1"/>
  <c r="O157" i="4" l="1"/>
  <c r="Q157" i="4" s="1"/>
  <c r="P157" i="4"/>
  <c r="N157" i="4"/>
  <c r="M158" i="4"/>
  <c r="R156" i="4" a="1"/>
  <c r="R156" i="4" s="1"/>
  <c r="S156" i="4" a="1"/>
  <c r="S156" i="4" s="1"/>
  <c r="U156" i="4" a="1"/>
  <c r="U156" i="4" s="1"/>
  <c r="O158" i="4" l="1"/>
  <c r="Q158" i="4" s="1"/>
  <c r="P158" i="4"/>
  <c r="N158" i="4"/>
  <c r="R157" i="4" a="1"/>
  <c r="R157" i="4" s="1"/>
  <c r="S157" i="4" a="1"/>
  <c r="S157" i="4" s="1"/>
  <c r="M159" i="4"/>
  <c r="U157" i="4" a="1"/>
  <c r="U157" i="4" s="1"/>
  <c r="P159" i="4" l="1"/>
  <c r="O159" i="4"/>
  <c r="Q159" i="4" s="1"/>
  <c r="N159" i="4"/>
  <c r="S158" i="4" a="1"/>
  <c r="S158" i="4" s="1"/>
  <c r="R158" i="4" a="1"/>
  <c r="R158" i="4" s="1"/>
  <c r="U158" i="4" a="1"/>
  <c r="U158" i="4" s="1"/>
  <c r="M160" i="4"/>
  <c r="O160" i="4" l="1"/>
  <c r="Q160" i="4" s="1"/>
  <c r="P160" i="4"/>
  <c r="N160" i="4"/>
  <c r="M161" i="4"/>
  <c r="S159" i="4" a="1"/>
  <c r="S159" i="4" s="1"/>
  <c r="R159" i="4" a="1"/>
  <c r="R159" i="4" s="1"/>
  <c r="U159" i="4" a="1"/>
  <c r="U159" i="4" s="1"/>
  <c r="O161" i="4" l="1"/>
  <c r="Q161" i="4" s="1"/>
  <c r="P161" i="4"/>
  <c r="N161" i="4"/>
  <c r="U160" i="4" a="1"/>
  <c r="U160" i="4" s="1"/>
  <c r="M162" i="4"/>
  <c r="R160" i="4" a="1"/>
  <c r="R160" i="4" s="1"/>
  <c r="S160" i="4" a="1"/>
  <c r="S160" i="4" s="1"/>
  <c r="M158" i="16" l="1"/>
  <c r="O162" i="4"/>
  <c r="Q162" i="4" s="1"/>
  <c r="P162" i="4"/>
  <c r="N162" i="4"/>
  <c r="R161" i="4" a="1"/>
  <c r="R161" i="4" s="1"/>
  <c r="S161" i="4" a="1"/>
  <c r="S161" i="4" s="1"/>
  <c r="U161" i="4" a="1"/>
  <c r="U161" i="4" s="1"/>
  <c r="M163" i="4"/>
  <c r="O158" i="16" l="1"/>
  <c r="N158" i="16"/>
  <c r="M159" i="16"/>
  <c r="P158" i="16"/>
  <c r="P163" i="4"/>
  <c r="O163" i="4"/>
  <c r="Q163" i="4" s="1"/>
  <c r="N163" i="4"/>
  <c r="M164" i="4"/>
  <c r="S162" i="4" a="1"/>
  <c r="S162" i="4" s="1"/>
  <c r="R162" i="4" a="1"/>
  <c r="R162" i="4" s="1"/>
  <c r="U162" i="4" a="1"/>
  <c r="U162" i="4" s="1"/>
  <c r="U158" i="16" l="1"/>
  <c r="O159" i="16"/>
  <c r="N159" i="16"/>
  <c r="U159" i="16" s="1"/>
  <c r="Q158" i="16"/>
  <c r="S158" i="16"/>
  <c r="R158" i="16"/>
  <c r="M160" i="16"/>
  <c r="P159" i="16"/>
  <c r="O164" i="4"/>
  <c r="Q164" i="4" s="1"/>
  <c r="P164" i="4"/>
  <c r="N164" i="4"/>
  <c r="R163" i="4" a="1"/>
  <c r="R163" i="4" s="1"/>
  <c r="S163" i="4" a="1"/>
  <c r="S163" i="4" s="1"/>
  <c r="U163" i="4" a="1"/>
  <c r="U163" i="4" s="1"/>
  <c r="M165" i="4"/>
  <c r="O160" i="16" l="1"/>
  <c r="N160" i="16"/>
  <c r="U160" i="16" s="1"/>
  <c r="S159" i="16"/>
  <c r="R159" i="16"/>
  <c r="Q159" i="16"/>
  <c r="P160" i="16"/>
  <c r="M161" i="16"/>
  <c r="P165" i="4"/>
  <c r="O165" i="4"/>
  <c r="Q165" i="4" s="1"/>
  <c r="N165" i="4"/>
  <c r="S164" i="4" a="1"/>
  <c r="S164" i="4" s="1"/>
  <c r="R164" i="4" a="1"/>
  <c r="R164" i="4" s="1"/>
  <c r="M166" i="4"/>
  <c r="U164" i="4" a="1"/>
  <c r="U164" i="4" s="1"/>
  <c r="O161" i="16" l="1"/>
  <c r="N161" i="16"/>
  <c r="U161" i="16" s="1"/>
  <c r="S160" i="16"/>
  <c r="R160" i="16"/>
  <c r="Q160" i="16"/>
  <c r="P161" i="16"/>
  <c r="M162" i="16"/>
  <c r="P166" i="4"/>
  <c r="N166" i="4"/>
  <c r="O166" i="4"/>
  <c r="Q166" i="4" s="1"/>
  <c r="U165" i="4" a="1"/>
  <c r="U165" i="4" s="1"/>
  <c r="M167" i="4"/>
  <c r="S165" i="4" a="1"/>
  <c r="S165" i="4" s="1"/>
  <c r="R165" i="4" a="1"/>
  <c r="R165" i="4" s="1"/>
  <c r="O162" i="16" l="1"/>
  <c r="N162" i="16"/>
  <c r="U162" i="16" s="1"/>
  <c r="S161" i="16"/>
  <c r="R161" i="16"/>
  <c r="Q161" i="16"/>
  <c r="M163" i="16"/>
  <c r="P162" i="16"/>
  <c r="P167" i="4"/>
  <c r="O167" i="4"/>
  <c r="Q167" i="4" s="1"/>
  <c r="N167" i="4"/>
  <c r="U166" i="4" a="1"/>
  <c r="U166" i="4" s="1"/>
  <c r="M168" i="4"/>
  <c r="S166" i="4" a="1"/>
  <c r="S166" i="4" s="1"/>
  <c r="R166" i="4" a="1"/>
  <c r="R166" i="4" s="1"/>
  <c r="O163" i="16" l="1"/>
  <c r="N163" i="16"/>
  <c r="U163" i="16" s="1"/>
  <c r="S162" i="16"/>
  <c r="R162" i="16"/>
  <c r="Q162" i="16"/>
  <c r="M164" i="16"/>
  <c r="P163" i="16"/>
  <c r="P168" i="4"/>
  <c r="O168" i="4"/>
  <c r="Q168" i="4" s="1"/>
  <c r="N168" i="4"/>
  <c r="R167" i="4" a="1"/>
  <c r="R167" i="4" s="1"/>
  <c r="S167" i="4" a="1"/>
  <c r="S167" i="4" s="1"/>
  <c r="U167" i="4" a="1"/>
  <c r="U167" i="4" s="1"/>
  <c r="M169" i="4"/>
  <c r="R163" i="16" l="1"/>
  <c r="Q163" i="16"/>
  <c r="S163" i="16"/>
  <c r="N164" i="16"/>
  <c r="U164" i="16" s="1"/>
  <c r="O164" i="16"/>
  <c r="P164" i="16"/>
  <c r="M165" i="16"/>
  <c r="O169" i="4"/>
  <c r="Q169" i="4" s="1"/>
  <c r="P169" i="4"/>
  <c r="N169" i="4"/>
  <c r="M170" i="4"/>
  <c r="R168" i="4" a="1"/>
  <c r="R168" i="4" s="1"/>
  <c r="S168" i="4" a="1"/>
  <c r="S168" i="4" s="1"/>
  <c r="U168" i="4" a="1"/>
  <c r="U168" i="4" s="1"/>
  <c r="O165" i="16" l="1"/>
  <c r="N165" i="16"/>
  <c r="U165" i="16" s="1"/>
  <c r="S164" i="16"/>
  <c r="R164" i="16"/>
  <c r="Q164" i="16"/>
  <c r="M166" i="16"/>
  <c r="P165" i="16"/>
  <c r="O170" i="4"/>
  <c r="Q170" i="4" s="1"/>
  <c r="P170" i="4"/>
  <c r="N170" i="4"/>
  <c r="M171" i="4"/>
  <c r="S169" i="4" a="1"/>
  <c r="S169" i="4" s="1"/>
  <c r="R169" i="4" a="1"/>
  <c r="R169" i="4" s="1"/>
  <c r="U169" i="4" a="1"/>
  <c r="U169" i="4" s="1"/>
  <c r="O166" i="16" l="1"/>
  <c r="N166" i="16"/>
  <c r="U166" i="16" s="1"/>
  <c r="R165" i="16"/>
  <c r="S165" i="16"/>
  <c r="Q165" i="16"/>
  <c r="M167" i="16"/>
  <c r="P166" i="16"/>
  <c r="O171" i="4"/>
  <c r="Q171" i="4" s="1"/>
  <c r="P171" i="4"/>
  <c r="N171" i="4"/>
  <c r="M172" i="4"/>
  <c r="R170" i="4" a="1"/>
  <c r="R170" i="4" s="1"/>
  <c r="S170" i="4" a="1"/>
  <c r="S170" i="4" s="1"/>
  <c r="U170" i="4" a="1"/>
  <c r="U170" i="4" s="1"/>
  <c r="N167" i="16" l="1"/>
  <c r="U167" i="16" s="1"/>
  <c r="O167" i="16"/>
  <c r="R166" i="16"/>
  <c r="Q166" i="16"/>
  <c r="S166" i="16"/>
  <c r="M168" i="16"/>
  <c r="P167" i="16"/>
  <c r="P172" i="4"/>
  <c r="N172" i="4"/>
  <c r="O172" i="4"/>
  <c r="Q172" i="4" s="1"/>
  <c r="R171" i="4" a="1"/>
  <c r="R171" i="4" s="1"/>
  <c r="S171" i="4" a="1"/>
  <c r="S171" i="4" s="1"/>
  <c r="U171" i="4" a="1"/>
  <c r="U171" i="4" s="1"/>
  <c r="M173" i="4"/>
  <c r="O168" i="16" l="1"/>
  <c r="N168" i="16"/>
  <c r="U168" i="16" s="1"/>
  <c r="R167" i="16"/>
  <c r="Q167" i="16"/>
  <c r="S167" i="16"/>
  <c r="P168" i="16"/>
  <c r="M169" i="16"/>
  <c r="O173" i="4"/>
  <c r="Q173" i="4" s="1"/>
  <c r="P173" i="4"/>
  <c r="N173" i="4"/>
  <c r="U172" i="4" a="1"/>
  <c r="U172" i="4" s="1"/>
  <c r="S172" i="4" a="1"/>
  <c r="S172" i="4" s="1"/>
  <c r="R172" i="4" a="1"/>
  <c r="R172" i="4" s="1"/>
  <c r="M174" i="4"/>
  <c r="R168" i="16" l="1"/>
  <c r="S168" i="16"/>
  <c r="Q168" i="16"/>
  <c r="O169" i="16"/>
  <c r="N169" i="16"/>
  <c r="U169" i="16" s="1"/>
  <c r="P169" i="16"/>
  <c r="M170" i="16"/>
  <c r="O174" i="4"/>
  <c r="Q174" i="4" s="1"/>
  <c r="P174" i="4"/>
  <c r="N174" i="4"/>
  <c r="M175" i="4"/>
  <c r="R173" i="4" a="1"/>
  <c r="R173" i="4" s="1"/>
  <c r="S173" i="4" a="1"/>
  <c r="S173" i="4" s="1"/>
  <c r="U173" i="4" a="1"/>
  <c r="U173" i="4" s="1"/>
  <c r="O170" i="16" l="1"/>
  <c r="N170" i="16"/>
  <c r="U170" i="16" s="1"/>
  <c r="Q169" i="16"/>
  <c r="R169" i="16"/>
  <c r="S169" i="16"/>
  <c r="M171" i="16"/>
  <c r="P170" i="16"/>
  <c r="P175" i="4"/>
  <c r="O175" i="4"/>
  <c r="Q175" i="4" s="1"/>
  <c r="N175" i="4"/>
  <c r="R174" i="4" a="1"/>
  <c r="R174" i="4" s="1"/>
  <c r="S174" i="4" a="1"/>
  <c r="S174" i="4" s="1"/>
  <c r="U174" i="4" a="1"/>
  <c r="U174" i="4" s="1"/>
  <c r="M176" i="4"/>
  <c r="O171" i="16" l="1"/>
  <c r="N171" i="16"/>
  <c r="U171" i="16" s="1"/>
  <c r="R170" i="16"/>
  <c r="S170" i="16"/>
  <c r="Q170" i="16"/>
  <c r="M172" i="16"/>
  <c r="P171" i="16"/>
  <c r="P176" i="4"/>
  <c r="O176" i="4"/>
  <c r="Q176" i="4" s="1"/>
  <c r="N176" i="4"/>
  <c r="U175" i="4" a="1"/>
  <c r="U175" i="4" s="1"/>
  <c r="R175" i="4" a="1"/>
  <c r="R175" i="4" s="1"/>
  <c r="S175" i="4" a="1"/>
  <c r="S175" i="4" s="1"/>
  <c r="M177" i="4"/>
  <c r="Q171" i="16" l="1"/>
  <c r="S171" i="16"/>
  <c r="R171" i="16"/>
  <c r="O172" i="16"/>
  <c r="N172" i="16"/>
  <c r="U172" i="16" s="1"/>
  <c r="P172" i="16"/>
  <c r="M173" i="16"/>
  <c r="O177" i="4"/>
  <c r="Q177" i="4" s="1"/>
  <c r="P177" i="4"/>
  <c r="N177" i="4"/>
  <c r="U176" i="4" a="1"/>
  <c r="U176" i="4" s="1"/>
  <c r="M178" i="4"/>
  <c r="R176" i="4" a="1"/>
  <c r="R176" i="4" s="1"/>
  <c r="S176" i="4" a="1"/>
  <c r="S176" i="4" s="1"/>
  <c r="S172" i="16" l="1"/>
  <c r="R172" i="16"/>
  <c r="Q172" i="16"/>
  <c r="O173" i="16"/>
  <c r="N173" i="16"/>
  <c r="U173" i="16" s="1"/>
  <c r="M174" i="16"/>
  <c r="P173" i="16"/>
  <c r="O178" i="4"/>
  <c r="Q178" i="4" s="1"/>
  <c r="N178" i="4"/>
  <c r="P178" i="4"/>
  <c r="S177" i="4" a="1"/>
  <c r="S177" i="4" s="1"/>
  <c r="R177" i="4" a="1"/>
  <c r="R177" i="4" s="1"/>
  <c r="U177" i="4" a="1"/>
  <c r="U177" i="4" s="1"/>
  <c r="M179" i="4"/>
  <c r="Q173" i="16" l="1"/>
  <c r="R173" i="16"/>
  <c r="S173" i="16"/>
  <c r="N174" i="16"/>
  <c r="U174" i="16" s="1"/>
  <c r="O174" i="16"/>
  <c r="M175" i="16"/>
  <c r="P174" i="16"/>
  <c r="O179" i="4"/>
  <c r="Q179" i="4" s="1"/>
  <c r="N179" i="4"/>
  <c r="P179" i="4"/>
  <c r="U178" i="4" a="1"/>
  <c r="U178" i="4" s="1"/>
  <c r="R178" i="4" a="1"/>
  <c r="R178" i="4" s="1"/>
  <c r="S178" i="4" a="1"/>
  <c r="S178" i="4" s="1"/>
  <c r="M180" i="4"/>
  <c r="S174" i="16" l="1"/>
  <c r="R174" i="16"/>
  <c r="Q174" i="16"/>
  <c r="O175" i="16"/>
  <c r="N175" i="16"/>
  <c r="U175" i="16" s="1"/>
  <c r="M176" i="16"/>
  <c r="P175" i="16"/>
  <c r="O180" i="4"/>
  <c r="Q180" i="4" s="1"/>
  <c r="P180" i="4"/>
  <c r="N180" i="4"/>
  <c r="M181" i="4"/>
  <c r="R179" i="4" a="1"/>
  <c r="R179" i="4" s="1"/>
  <c r="S179" i="4" a="1"/>
  <c r="S179" i="4" s="1"/>
  <c r="U179" i="4" a="1"/>
  <c r="U179" i="4" s="1"/>
  <c r="R175" i="16" l="1"/>
  <c r="Q175" i="16"/>
  <c r="S175" i="16"/>
  <c r="O176" i="16"/>
  <c r="N176" i="16"/>
  <c r="U176" i="16" s="1"/>
  <c r="P176" i="16"/>
  <c r="M177" i="16"/>
  <c r="O181" i="4"/>
  <c r="Q181" i="4" s="1"/>
  <c r="P181" i="4"/>
  <c r="N181" i="4"/>
  <c r="M182" i="4"/>
  <c r="S180" i="4" a="1"/>
  <c r="S180" i="4" s="1"/>
  <c r="R180" i="4" a="1"/>
  <c r="R180" i="4" s="1"/>
  <c r="U180" i="4" a="1"/>
  <c r="U180" i="4" s="1"/>
  <c r="R176" i="16" l="1"/>
  <c r="Q176" i="16"/>
  <c r="S176" i="16"/>
  <c r="O177" i="16"/>
  <c r="N177" i="16"/>
  <c r="U177" i="16" s="1"/>
  <c r="P177" i="16"/>
  <c r="M178" i="16"/>
  <c r="O182" i="4"/>
  <c r="Q182" i="4" s="1"/>
  <c r="P182" i="4"/>
  <c r="N182" i="4"/>
  <c r="U181" i="4" a="1"/>
  <c r="U181" i="4" s="1"/>
  <c r="M183" i="4"/>
  <c r="R181" i="4" a="1"/>
  <c r="R181" i="4" s="1"/>
  <c r="S181" i="4" a="1"/>
  <c r="S181" i="4" s="1"/>
  <c r="O178" i="16" l="1"/>
  <c r="N178" i="16"/>
  <c r="U178" i="16" s="1"/>
  <c r="R177" i="16"/>
  <c r="Q177" i="16"/>
  <c r="S177" i="16"/>
  <c r="M179" i="16"/>
  <c r="P178" i="16"/>
  <c r="P183" i="4"/>
  <c r="N183" i="4"/>
  <c r="O183" i="4"/>
  <c r="Q183" i="4" s="1"/>
  <c r="R182" i="4" a="1"/>
  <c r="R182" i="4" s="1"/>
  <c r="S182" i="4" a="1"/>
  <c r="S182" i="4" s="1"/>
  <c r="M184" i="4"/>
  <c r="U182" i="4" a="1"/>
  <c r="U182" i="4" s="1"/>
  <c r="O179" i="16" l="1"/>
  <c r="N179" i="16"/>
  <c r="U179" i="16" s="1"/>
  <c r="S178" i="16"/>
  <c r="R178" i="16"/>
  <c r="Q178" i="16"/>
  <c r="M180" i="16"/>
  <c r="P179" i="16"/>
  <c r="O184" i="4"/>
  <c r="Q184" i="4" s="1"/>
  <c r="P184" i="4"/>
  <c r="N184" i="4"/>
  <c r="R183" i="4" a="1"/>
  <c r="R183" i="4" s="1"/>
  <c r="S183" i="4" a="1"/>
  <c r="S183" i="4" s="1"/>
  <c r="M185" i="4"/>
  <c r="U183" i="4" a="1"/>
  <c r="U183" i="4" s="1"/>
  <c r="N180" i="16" l="1"/>
  <c r="U180" i="16" s="1"/>
  <c r="O180" i="16"/>
  <c r="S179" i="16"/>
  <c r="R179" i="16"/>
  <c r="Q179" i="16"/>
  <c r="P180" i="16"/>
  <c r="M181" i="16"/>
  <c r="O185" i="4"/>
  <c r="Q185" i="4" s="1"/>
  <c r="P185" i="4"/>
  <c r="N185" i="4"/>
  <c r="M186" i="4"/>
  <c r="U184" i="4" a="1"/>
  <c r="U184" i="4" s="1"/>
  <c r="R184" i="4" a="1"/>
  <c r="R184" i="4" s="1"/>
  <c r="S184" i="4" a="1"/>
  <c r="S184" i="4" s="1"/>
  <c r="N181" i="16" l="1"/>
  <c r="U181" i="16" s="1"/>
  <c r="O181" i="16"/>
  <c r="S180" i="16"/>
  <c r="Q180" i="16"/>
  <c r="R180" i="16"/>
  <c r="M182" i="16"/>
  <c r="P181" i="16"/>
  <c r="P186" i="4"/>
  <c r="N186" i="4"/>
  <c r="O186" i="4"/>
  <c r="Q186" i="4" s="1"/>
  <c r="M187" i="4"/>
  <c r="S185" i="4" a="1"/>
  <c r="S185" i="4" s="1"/>
  <c r="R185" i="4" a="1"/>
  <c r="R185" i="4" s="1"/>
  <c r="U185" i="4" a="1"/>
  <c r="U185" i="4" s="1"/>
  <c r="N182" i="16" l="1"/>
  <c r="U182" i="16" s="1"/>
  <c r="O182" i="16"/>
  <c r="S181" i="16"/>
  <c r="Q181" i="16"/>
  <c r="R181" i="16"/>
  <c r="M183" i="16"/>
  <c r="P182" i="16"/>
  <c r="O187" i="4"/>
  <c r="Q187" i="4" s="1"/>
  <c r="P187" i="4"/>
  <c r="N187" i="4"/>
  <c r="M188" i="4"/>
  <c r="S186" i="4" a="1"/>
  <c r="S186" i="4" s="1"/>
  <c r="R186" i="4" a="1"/>
  <c r="R186" i="4" s="1"/>
  <c r="U186" i="4" a="1"/>
  <c r="U186" i="4" s="1"/>
  <c r="O183" i="16" l="1"/>
  <c r="N183" i="16"/>
  <c r="U183" i="16" s="1"/>
  <c r="S182" i="16"/>
  <c r="Q182" i="16"/>
  <c r="R182" i="16"/>
  <c r="M184" i="16"/>
  <c r="P183" i="16"/>
  <c r="O188" i="4"/>
  <c r="Q188" i="4" s="1"/>
  <c r="P188" i="4"/>
  <c r="N188" i="4"/>
  <c r="R187" i="4" a="1"/>
  <c r="R187" i="4" s="1"/>
  <c r="S187" i="4" a="1"/>
  <c r="S187" i="4" s="1"/>
  <c r="U187" i="4" a="1"/>
  <c r="U187" i="4" s="1"/>
  <c r="M189" i="4"/>
  <c r="S183" i="16" l="1"/>
  <c r="R183" i="16"/>
  <c r="Q183" i="16"/>
  <c r="O184" i="16"/>
  <c r="N184" i="16"/>
  <c r="U184" i="16" s="1"/>
  <c r="M185" i="16"/>
  <c r="P184" i="16"/>
  <c r="O189" i="4"/>
  <c r="Q189" i="4" s="1"/>
  <c r="P189" i="4"/>
  <c r="N189" i="4"/>
  <c r="U188" i="4" a="1"/>
  <c r="U188" i="4" s="1"/>
  <c r="M190" i="4"/>
  <c r="R188" i="4" a="1"/>
  <c r="R188" i="4" s="1"/>
  <c r="S188" i="4" a="1"/>
  <c r="S188" i="4" s="1"/>
  <c r="S184" i="16" l="1"/>
  <c r="R184" i="16"/>
  <c r="Q184" i="16"/>
  <c r="O185" i="16"/>
  <c r="N185" i="16"/>
  <c r="U185" i="16" s="1"/>
  <c r="P185" i="16"/>
  <c r="M186" i="16"/>
  <c r="O190" i="4"/>
  <c r="Q190" i="4" s="1"/>
  <c r="P190" i="4"/>
  <c r="N190" i="4"/>
  <c r="U189" i="4" a="1"/>
  <c r="U189" i="4" s="1"/>
  <c r="R189" i="4" a="1"/>
  <c r="R189" i="4" s="1"/>
  <c r="S189" i="4" a="1"/>
  <c r="S189" i="4" s="1"/>
  <c r="M191" i="4"/>
  <c r="O186" i="16" l="1"/>
  <c r="N186" i="16"/>
  <c r="U186" i="16" s="1"/>
  <c r="R185" i="16"/>
  <c r="S185" i="16"/>
  <c r="Q185" i="16"/>
  <c r="P186" i="16"/>
  <c r="M187" i="16"/>
  <c r="O191" i="4"/>
  <c r="Q191" i="4" s="1"/>
  <c r="P191" i="4"/>
  <c r="N191" i="4"/>
  <c r="M192" i="4"/>
  <c r="S190" i="4" a="1"/>
  <c r="S190" i="4" s="1"/>
  <c r="R190" i="4" a="1"/>
  <c r="R190" i="4" s="1"/>
  <c r="U190" i="4" a="1"/>
  <c r="U190" i="4" s="1"/>
  <c r="O187" i="16" l="1"/>
  <c r="N187" i="16"/>
  <c r="U187" i="16" s="1"/>
  <c r="S186" i="16"/>
  <c r="Q186" i="16"/>
  <c r="R186" i="16"/>
  <c r="P187" i="16"/>
  <c r="M188" i="16"/>
  <c r="P192" i="4"/>
  <c r="O192" i="4"/>
  <c r="Q192" i="4" s="1"/>
  <c r="N192" i="4"/>
  <c r="M193" i="4"/>
  <c r="R191" i="4" a="1"/>
  <c r="R191" i="4" s="1"/>
  <c r="S191" i="4" a="1"/>
  <c r="S191" i="4" s="1"/>
  <c r="U191" i="4" a="1"/>
  <c r="U191" i="4" s="1"/>
  <c r="O188" i="16" l="1"/>
  <c r="N188" i="16"/>
  <c r="U188" i="16" s="1"/>
  <c r="S187" i="16"/>
  <c r="R187" i="16"/>
  <c r="Q187" i="16"/>
  <c r="M189" i="16"/>
  <c r="P188" i="16"/>
  <c r="O193" i="4"/>
  <c r="Q193" i="4" s="1"/>
  <c r="N193" i="4"/>
  <c r="P193" i="4"/>
  <c r="R192" i="4" a="1"/>
  <c r="R192" i="4" s="1"/>
  <c r="S192" i="4" a="1"/>
  <c r="S192" i="4" s="1"/>
  <c r="U192" i="4" a="1"/>
  <c r="U192" i="4" s="1"/>
  <c r="M194" i="4"/>
  <c r="R188" i="16" l="1"/>
  <c r="S188" i="16"/>
  <c r="Q188" i="16"/>
  <c r="N189" i="16"/>
  <c r="U189" i="16" s="1"/>
  <c r="O189" i="16"/>
  <c r="M190" i="16"/>
  <c r="P189" i="16"/>
  <c r="N194" i="4"/>
  <c r="P194" i="4"/>
  <c r="O194" i="4"/>
  <c r="Q194" i="4" s="1"/>
  <c r="U193" i="4" a="1"/>
  <c r="U193" i="4" s="1"/>
  <c r="M195" i="4"/>
  <c r="S193" i="4" a="1"/>
  <c r="S193" i="4" s="1"/>
  <c r="R193" i="4" a="1"/>
  <c r="R193" i="4" s="1"/>
  <c r="O190" i="16" l="1"/>
  <c r="N190" i="16"/>
  <c r="U190" i="16" s="1"/>
  <c r="S189" i="16"/>
  <c r="Q189" i="16"/>
  <c r="R189" i="16"/>
  <c r="P190" i="16"/>
  <c r="M191" i="16"/>
  <c r="P195" i="4"/>
  <c r="O195" i="4"/>
  <c r="Q195" i="4" s="1"/>
  <c r="N195" i="4"/>
  <c r="U194" i="4" a="1"/>
  <c r="U194" i="4" s="1"/>
  <c r="M196" i="4"/>
  <c r="S194" i="4" a="1"/>
  <c r="S194" i="4" s="1"/>
  <c r="R194" i="4" a="1"/>
  <c r="R194" i="4" s="1"/>
  <c r="Q190" i="16" l="1"/>
  <c r="S190" i="16"/>
  <c r="R190" i="16"/>
  <c r="O191" i="16"/>
  <c r="N191" i="16"/>
  <c r="U191" i="16" s="1"/>
  <c r="M192" i="16"/>
  <c r="P191" i="16"/>
  <c r="O196" i="4"/>
  <c r="Q196" i="4" s="1"/>
  <c r="P196" i="4"/>
  <c r="N196" i="4"/>
  <c r="R195" i="4" a="1"/>
  <c r="R195" i="4" s="1"/>
  <c r="S195" i="4" a="1"/>
  <c r="S195" i="4" s="1"/>
  <c r="M197" i="4"/>
  <c r="U195" i="4" a="1"/>
  <c r="U195" i="4" s="1"/>
  <c r="O192" i="16" l="1"/>
  <c r="N192" i="16"/>
  <c r="U192" i="16" s="1"/>
  <c r="R191" i="16"/>
  <c r="Q191" i="16"/>
  <c r="S191" i="16"/>
  <c r="M193" i="16"/>
  <c r="P192" i="16"/>
  <c r="O197" i="4"/>
  <c r="Q197" i="4" s="1"/>
  <c r="P197" i="4"/>
  <c r="N197" i="4"/>
  <c r="R196" i="4" a="1"/>
  <c r="R196" i="4" s="1"/>
  <c r="S196" i="4" a="1"/>
  <c r="S196" i="4" s="1"/>
  <c r="M198" i="4"/>
  <c r="U196" i="4" a="1"/>
  <c r="U196" i="4" s="1"/>
  <c r="N193" i="16" l="1"/>
  <c r="U193" i="16" s="1"/>
  <c r="O193" i="16"/>
  <c r="R192" i="16"/>
  <c r="S192" i="16"/>
  <c r="Q192" i="16"/>
  <c r="P193" i="16"/>
  <c r="M194" i="16"/>
  <c r="O198" i="4"/>
  <c r="Q198" i="4" s="1"/>
  <c r="P198" i="4"/>
  <c r="N198" i="4"/>
  <c r="U197" i="4" a="1"/>
  <c r="U197" i="4" s="1"/>
  <c r="R197" i="4" a="1"/>
  <c r="R197" i="4" s="1"/>
  <c r="S197" i="4" a="1"/>
  <c r="S197" i="4" s="1"/>
  <c r="M199" i="4"/>
  <c r="N194" i="16" l="1"/>
  <c r="U194" i="16" s="1"/>
  <c r="O194" i="16"/>
  <c r="R193" i="16"/>
  <c r="S193" i="16"/>
  <c r="Q193" i="16"/>
  <c r="P194" i="16"/>
  <c r="M195" i="16"/>
  <c r="O199" i="4"/>
  <c r="Q199" i="4" s="1"/>
  <c r="N199" i="4"/>
  <c r="P199" i="4"/>
  <c r="S198" i="4" a="1"/>
  <c r="S198" i="4" s="1"/>
  <c r="R198" i="4" a="1"/>
  <c r="R198" i="4" s="1"/>
  <c r="M200" i="4"/>
  <c r="U198" i="4" a="1"/>
  <c r="U198" i="4" s="1"/>
  <c r="O195" i="16" l="1"/>
  <c r="N195" i="16"/>
  <c r="U195" i="16" s="1"/>
  <c r="S194" i="16"/>
  <c r="R194" i="16"/>
  <c r="Q194" i="16"/>
  <c r="M196" i="16"/>
  <c r="P195" i="16"/>
  <c r="O200" i="4"/>
  <c r="Q200" i="4" s="1"/>
  <c r="P200" i="4"/>
  <c r="N200" i="4"/>
  <c r="R199" i="4" a="1"/>
  <c r="R199" i="4" s="1"/>
  <c r="S199" i="4" a="1"/>
  <c r="S199" i="4" s="1"/>
  <c r="U199" i="4" a="1"/>
  <c r="U199" i="4" s="1"/>
  <c r="M201" i="4"/>
  <c r="O196" i="16" l="1"/>
  <c r="N196" i="16"/>
  <c r="U196" i="16" s="1"/>
  <c r="S195" i="16"/>
  <c r="R195" i="16"/>
  <c r="Q195" i="16"/>
  <c r="M197" i="16"/>
  <c r="P196" i="16"/>
  <c r="P201" i="4"/>
  <c r="O201" i="4"/>
  <c r="Q201" i="4" s="1"/>
  <c r="N201" i="4"/>
  <c r="R200" i="4" a="1"/>
  <c r="R200" i="4" s="1"/>
  <c r="S200" i="4" a="1"/>
  <c r="S200" i="4" s="1"/>
  <c r="U200" i="4" a="1"/>
  <c r="U200" i="4" s="1"/>
  <c r="M202" i="4"/>
  <c r="R196" i="16" l="1"/>
  <c r="S196" i="16"/>
  <c r="Q196" i="16"/>
  <c r="O197" i="16"/>
  <c r="N197" i="16"/>
  <c r="U197" i="16" s="1"/>
  <c r="M198" i="16"/>
  <c r="P197" i="16"/>
  <c r="P202" i="4"/>
  <c r="O202" i="4"/>
  <c r="Q202" i="4" s="1"/>
  <c r="N202" i="4"/>
  <c r="U201" i="4" a="1"/>
  <c r="U201" i="4" s="1"/>
  <c r="M203" i="4"/>
  <c r="S201" i="4" a="1"/>
  <c r="S201" i="4" s="1"/>
  <c r="R201" i="4" a="1"/>
  <c r="R201" i="4" s="1"/>
  <c r="O198" i="16" l="1"/>
  <c r="N198" i="16"/>
  <c r="U198" i="16" s="1"/>
  <c r="S197" i="16"/>
  <c r="Q197" i="16"/>
  <c r="R197" i="16"/>
  <c r="P198" i="16"/>
  <c r="M199" i="16"/>
  <c r="P203" i="4"/>
  <c r="N203" i="4"/>
  <c r="O203" i="4"/>
  <c r="Q203" i="4" s="1"/>
  <c r="M204" i="4"/>
  <c r="U202" i="4" a="1"/>
  <c r="U202" i="4" s="1"/>
  <c r="S202" i="4" a="1"/>
  <c r="S202" i="4" s="1"/>
  <c r="R202" i="4" a="1"/>
  <c r="R202" i="4" s="1"/>
  <c r="R198" i="16" l="1"/>
  <c r="Q198" i="16"/>
  <c r="S198" i="16"/>
  <c r="O199" i="16"/>
  <c r="N199" i="16"/>
  <c r="U199" i="16" s="1"/>
  <c r="M200" i="16"/>
  <c r="P199" i="16"/>
  <c r="O204" i="4"/>
  <c r="Q204" i="4" s="1"/>
  <c r="P204" i="4"/>
  <c r="N204" i="4"/>
  <c r="R203" i="4" a="1"/>
  <c r="R203" i="4" s="1"/>
  <c r="S203" i="4" a="1"/>
  <c r="S203" i="4" s="1"/>
  <c r="U203" i="4" a="1"/>
  <c r="U203" i="4" s="1"/>
  <c r="M205" i="4"/>
  <c r="O200" i="16" l="1"/>
  <c r="N200" i="16"/>
  <c r="U200" i="16" s="1"/>
  <c r="S199" i="16"/>
  <c r="R199" i="16"/>
  <c r="Q199" i="16"/>
  <c r="M201" i="16"/>
  <c r="P200" i="16"/>
  <c r="O205" i="4"/>
  <c r="Q205" i="4" s="1"/>
  <c r="P205" i="4"/>
  <c r="N205" i="4"/>
  <c r="M206" i="4"/>
  <c r="U204" i="4" a="1"/>
  <c r="U204" i="4" s="1"/>
  <c r="R204" i="4" a="1"/>
  <c r="R204" i="4" s="1"/>
  <c r="S204" i="4" a="1"/>
  <c r="S204" i="4" s="1"/>
  <c r="N201" i="16" l="1"/>
  <c r="U201" i="16" s="1"/>
  <c r="O201" i="16"/>
  <c r="R200" i="16"/>
  <c r="Q200" i="16"/>
  <c r="S200" i="16"/>
  <c r="M202" i="16"/>
  <c r="P201" i="16"/>
  <c r="O206" i="4"/>
  <c r="Q206" i="4" s="1"/>
  <c r="P206" i="4"/>
  <c r="N206" i="4"/>
  <c r="U205" i="4" a="1"/>
  <c r="U205" i="4" s="1"/>
  <c r="R205" i="4" a="1"/>
  <c r="R205" i="4" s="1"/>
  <c r="S205" i="4" a="1"/>
  <c r="S205" i="4" s="1"/>
  <c r="M207" i="4"/>
  <c r="O202" i="16" l="1"/>
  <c r="N202" i="16"/>
  <c r="U202" i="16" s="1"/>
  <c r="R201" i="16"/>
  <c r="S201" i="16"/>
  <c r="Q201" i="16"/>
  <c r="M203" i="16"/>
  <c r="P202" i="16"/>
  <c r="O207" i="4"/>
  <c r="Q207" i="4" s="1"/>
  <c r="P207" i="4"/>
  <c r="N207" i="4"/>
  <c r="M208" i="4"/>
  <c r="R206" i="4" a="1"/>
  <c r="R206" i="4" s="1"/>
  <c r="S206" i="4" a="1"/>
  <c r="S206" i="4" s="1"/>
  <c r="U206" i="4" a="1"/>
  <c r="U206" i="4" s="1"/>
  <c r="O203" i="16" l="1"/>
  <c r="N203" i="16"/>
  <c r="U203" i="16" s="1"/>
  <c r="S202" i="16"/>
  <c r="R202" i="16"/>
  <c r="Q202" i="16"/>
  <c r="M204" i="16"/>
  <c r="P203" i="16"/>
  <c r="O208" i="4"/>
  <c r="Q208" i="4" s="1"/>
  <c r="P208" i="4"/>
  <c r="N208" i="4"/>
  <c r="R207" i="4" a="1"/>
  <c r="R207" i="4" s="1"/>
  <c r="S207" i="4" a="1"/>
  <c r="S207" i="4" s="1"/>
  <c r="M209" i="4"/>
  <c r="U207" i="4" a="1"/>
  <c r="U207" i="4" s="1"/>
  <c r="O204" i="16" l="1"/>
  <c r="N204" i="16"/>
  <c r="U204" i="16" s="1"/>
  <c r="S203" i="16"/>
  <c r="R203" i="16"/>
  <c r="Q203" i="16"/>
  <c r="P204" i="16"/>
  <c r="M205" i="16"/>
  <c r="P209" i="4"/>
  <c r="N209" i="4"/>
  <c r="O209" i="4"/>
  <c r="Q209" i="4" s="1"/>
  <c r="R208" i="4" a="1"/>
  <c r="R208" i="4" s="1"/>
  <c r="S208" i="4" a="1"/>
  <c r="S208" i="4" s="1"/>
  <c r="U208" i="4" a="1"/>
  <c r="U208" i="4" s="1"/>
  <c r="M210" i="4"/>
  <c r="N205" i="16" l="1"/>
  <c r="U205" i="16" s="1"/>
  <c r="O205" i="16"/>
  <c r="Q204" i="16"/>
  <c r="S204" i="16"/>
  <c r="R204" i="16"/>
  <c r="P205" i="16"/>
  <c r="M206" i="16"/>
  <c r="O210" i="4"/>
  <c r="Q210" i="4" s="1"/>
  <c r="P210" i="4"/>
  <c r="N210" i="4"/>
  <c r="M211" i="4"/>
  <c r="U209" i="4" a="1"/>
  <c r="U209" i="4" s="1"/>
  <c r="R209" i="4" a="1"/>
  <c r="R209" i="4" s="1"/>
  <c r="S209" i="4" a="1"/>
  <c r="S209" i="4" s="1"/>
  <c r="O206" i="16" l="1"/>
  <c r="N206" i="16"/>
  <c r="U206" i="16" s="1"/>
  <c r="S205" i="16"/>
  <c r="R205" i="16"/>
  <c r="Q205" i="16"/>
  <c r="P206" i="16"/>
  <c r="M207" i="16"/>
  <c r="O211" i="4"/>
  <c r="Q211" i="4" s="1"/>
  <c r="P211" i="4"/>
  <c r="N211" i="4"/>
  <c r="M212" i="4"/>
  <c r="S210" i="4" a="1"/>
  <c r="S210" i="4" s="1"/>
  <c r="R210" i="4" a="1"/>
  <c r="R210" i="4" s="1"/>
  <c r="U210" i="4" a="1"/>
  <c r="U210" i="4" s="1"/>
  <c r="R206" i="16" l="1"/>
  <c r="S206" i="16"/>
  <c r="Q206" i="16"/>
  <c r="O207" i="16"/>
  <c r="N207" i="16"/>
  <c r="U207" i="16" s="1"/>
  <c r="M208" i="16"/>
  <c r="P207" i="16"/>
  <c r="O212" i="4"/>
  <c r="Q212" i="4" s="1"/>
  <c r="N212" i="4"/>
  <c r="P212" i="4"/>
  <c r="M213" i="4"/>
  <c r="S211" i="4" a="1"/>
  <c r="S211" i="4" s="1"/>
  <c r="R211" i="4" a="1"/>
  <c r="R211" i="4" s="1"/>
  <c r="U211" i="4" a="1"/>
  <c r="U211" i="4" s="1"/>
  <c r="S207" i="16" l="1"/>
  <c r="Q207" i="16"/>
  <c r="R207" i="16"/>
  <c r="O208" i="16"/>
  <c r="N208" i="16"/>
  <c r="U208" i="16" s="1"/>
  <c r="M209" i="16"/>
  <c r="P208" i="16"/>
  <c r="O213" i="4"/>
  <c r="Q213" i="4" s="1"/>
  <c r="P213" i="4"/>
  <c r="N213" i="4"/>
  <c r="U212" i="4" a="1"/>
  <c r="U212" i="4" s="1"/>
  <c r="M214" i="4"/>
  <c r="R212" i="4" a="1"/>
  <c r="R212" i="4" s="1"/>
  <c r="S212" i="4" a="1"/>
  <c r="S212" i="4" s="1"/>
  <c r="R208" i="16" l="1"/>
  <c r="S208" i="16"/>
  <c r="Q208" i="16"/>
  <c r="O209" i="16"/>
  <c r="N209" i="16"/>
  <c r="U209" i="16" s="1"/>
  <c r="P209" i="16"/>
  <c r="M210" i="16"/>
  <c r="N214" i="4"/>
  <c r="O214" i="4"/>
  <c r="Q214" i="4" s="1"/>
  <c r="P214" i="4"/>
  <c r="U213" i="4" a="1"/>
  <c r="U213" i="4" s="1"/>
  <c r="R213" i="4" a="1"/>
  <c r="R213" i="4" s="1"/>
  <c r="S213" i="4" a="1"/>
  <c r="S213" i="4" s="1"/>
  <c r="M215" i="4"/>
  <c r="O210" i="16" l="1"/>
  <c r="N210" i="16"/>
  <c r="U210" i="16" s="1"/>
  <c r="R209" i="16"/>
  <c r="S209" i="16"/>
  <c r="Q209" i="16"/>
  <c r="M211" i="16"/>
  <c r="P210" i="16"/>
  <c r="O215" i="4"/>
  <c r="Q215" i="4" s="1"/>
  <c r="N215" i="4"/>
  <c r="P215" i="4"/>
  <c r="M216" i="4"/>
  <c r="R214" i="4" a="1"/>
  <c r="R214" i="4" s="1"/>
  <c r="S214" i="4" a="1"/>
  <c r="S214" i="4" s="1"/>
  <c r="U214" i="4" a="1"/>
  <c r="U214" i="4" s="1"/>
  <c r="O211" i="16" l="1"/>
  <c r="N211" i="16"/>
  <c r="U211" i="16" s="1"/>
  <c r="S210" i="16"/>
  <c r="R210" i="16"/>
  <c r="Q210" i="16"/>
  <c r="P211" i="16"/>
  <c r="M212" i="16"/>
  <c r="P216" i="4"/>
  <c r="O216" i="4"/>
  <c r="Q216" i="4" s="1"/>
  <c r="N216" i="4"/>
  <c r="R215" i="4" a="1"/>
  <c r="R215" i="4" s="1"/>
  <c r="S215" i="4" a="1"/>
  <c r="S215" i="4" s="1"/>
  <c r="U215" i="4" a="1"/>
  <c r="U215" i="4" s="1"/>
  <c r="M217" i="4"/>
  <c r="O212" i="16" l="1"/>
  <c r="N212" i="16"/>
  <c r="U212" i="16" s="1"/>
  <c r="S211" i="16"/>
  <c r="R211" i="16"/>
  <c r="Q211" i="16"/>
  <c r="P212" i="16"/>
  <c r="M213" i="16"/>
  <c r="O217" i="4"/>
  <c r="Q217" i="4" s="1"/>
  <c r="P217" i="4"/>
  <c r="N217" i="4"/>
  <c r="M218" i="4"/>
  <c r="U216" i="4" a="1"/>
  <c r="U216" i="4" s="1"/>
  <c r="R216" i="4" a="1"/>
  <c r="R216" i="4" s="1"/>
  <c r="S216" i="4" a="1"/>
  <c r="S216" i="4" s="1"/>
  <c r="O213" i="16" l="1"/>
  <c r="N213" i="16"/>
  <c r="U213" i="16" s="1"/>
  <c r="S212" i="16"/>
  <c r="R212" i="16"/>
  <c r="Q212" i="16"/>
  <c r="M214" i="16"/>
  <c r="P213" i="16"/>
  <c r="O218" i="4"/>
  <c r="Q218" i="4" s="1"/>
  <c r="P218" i="4"/>
  <c r="N218" i="4"/>
  <c r="M219" i="4"/>
  <c r="R217" i="4" a="1"/>
  <c r="R217" i="4" s="1"/>
  <c r="S217" i="4" a="1"/>
  <c r="S217" i="4" s="1"/>
  <c r="U217" i="4" a="1"/>
  <c r="U217" i="4" s="1"/>
  <c r="O214" i="16" l="1"/>
  <c r="N214" i="16"/>
  <c r="U214" i="16" s="1"/>
  <c r="Q213" i="16"/>
  <c r="R213" i="16"/>
  <c r="S213" i="16"/>
  <c r="M215" i="16"/>
  <c r="P214" i="16"/>
  <c r="P219" i="4"/>
  <c r="O219" i="4"/>
  <c r="Q219" i="4" s="1"/>
  <c r="N219" i="4"/>
  <c r="M220" i="4"/>
  <c r="S218" i="4" a="1"/>
  <c r="S218" i="4" s="1"/>
  <c r="R218" i="4" a="1"/>
  <c r="R218" i="4" s="1"/>
  <c r="U218" i="4" a="1"/>
  <c r="U218" i="4" s="1"/>
  <c r="O215" i="16" l="1"/>
  <c r="N215" i="16"/>
  <c r="U215" i="16" s="1"/>
  <c r="Q214" i="16"/>
  <c r="R214" i="16"/>
  <c r="S214" i="16"/>
  <c r="P215" i="16"/>
  <c r="M216" i="16"/>
  <c r="O220" i="4"/>
  <c r="Q220" i="4" s="1"/>
  <c r="N220" i="4"/>
  <c r="P220" i="4"/>
  <c r="M221" i="4"/>
  <c r="S219" i="4" a="1"/>
  <c r="S219" i="4" s="1"/>
  <c r="R219" i="4" a="1"/>
  <c r="R219" i="4" s="1"/>
  <c r="U219" i="4" a="1"/>
  <c r="U219" i="4" s="1"/>
  <c r="N216" i="16" l="1"/>
  <c r="U216" i="16" s="1"/>
  <c r="O216" i="16"/>
  <c r="Q215" i="16"/>
  <c r="S215" i="16"/>
  <c r="R215" i="16"/>
  <c r="M217" i="16"/>
  <c r="P216" i="16"/>
  <c r="O221" i="4"/>
  <c r="Q221" i="4" s="1"/>
  <c r="N221" i="4"/>
  <c r="P221" i="4"/>
  <c r="U220" i="4" a="1"/>
  <c r="U220" i="4" s="1"/>
  <c r="M222" i="4"/>
  <c r="R220" i="4" a="1"/>
  <c r="R220" i="4" s="1"/>
  <c r="S220" i="4" a="1"/>
  <c r="S220" i="4" s="1"/>
  <c r="O217" i="16" l="1"/>
  <c r="N217" i="16"/>
  <c r="U217" i="16" s="1"/>
  <c r="R216" i="16"/>
  <c r="S216" i="16"/>
  <c r="Q216" i="16"/>
  <c r="M218" i="16"/>
  <c r="P217" i="16"/>
  <c r="P222" i="4"/>
  <c r="O222" i="4"/>
  <c r="Q222" i="4" s="1"/>
  <c r="N222" i="4"/>
  <c r="R221" i="4" a="1"/>
  <c r="R221" i="4" s="1"/>
  <c r="S221" i="4" a="1"/>
  <c r="S221" i="4" s="1"/>
  <c r="M223" i="4"/>
  <c r="U221" i="4" a="1"/>
  <c r="U221" i="4" s="1"/>
  <c r="N218" i="16" l="1"/>
  <c r="U218" i="16" s="1"/>
  <c r="O218" i="16"/>
  <c r="Q217" i="16"/>
  <c r="R217" i="16"/>
  <c r="S217" i="16"/>
  <c r="M219" i="16"/>
  <c r="P218" i="16"/>
  <c r="P223" i="4"/>
  <c r="O223" i="4"/>
  <c r="Q223" i="4" s="1"/>
  <c r="N223" i="4"/>
  <c r="M224" i="4"/>
  <c r="U222" i="4" a="1"/>
  <c r="U222" i="4" s="1"/>
  <c r="R222" i="4" a="1"/>
  <c r="R222" i="4" s="1"/>
  <c r="S222" i="4" a="1"/>
  <c r="S222" i="4" s="1"/>
  <c r="N219" i="16" l="1"/>
  <c r="U219" i="16" s="1"/>
  <c r="O219" i="16"/>
  <c r="S218" i="16"/>
  <c r="R218" i="16"/>
  <c r="Q218" i="16"/>
  <c r="M220" i="16"/>
  <c r="P219" i="16"/>
  <c r="O224" i="4"/>
  <c r="Q224" i="4" s="1"/>
  <c r="P224" i="4"/>
  <c r="N224" i="4"/>
  <c r="U223" i="4" a="1"/>
  <c r="U223" i="4" s="1"/>
  <c r="R223" i="4" a="1"/>
  <c r="R223" i="4" s="1"/>
  <c r="S223" i="4" a="1"/>
  <c r="S223" i="4" s="1"/>
  <c r="M225" i="4"/>
  <c r="N220" i="16" l="1"/>
  <c r="U220" i="16" s="1"/>
  <c r="O220" i="16"/>
  <c r="R219" i="16"/>
  <c r="Q219" i="16"/>
  <c r="S219" i="16"/>
  <c r="P220" i="16"/>
  <c r="M221" i="16"/>
  <c r="O225" i="4"/>
  <c r="Q225" i="4" s="1"/>
  <c r="P225" i="4"/>
  <c r="N225" i="4"/>
  <c r="U224" i="4" a="1"/>
  <c r="U224" i="4" s="1"/>
  <c r="R224" i="4" a="1"/>
  <c r="R224" i="4" s="1"/>
  <c r="S224" i="4" a="1"/>
  <c r="S224" i="4" s="1"/>
  <c r="M226" i="4"/>
  <c r="R220" i="16" l="1"/>
  <c r="Q220" i="16"/>
  <c r="S220" i="16"/>
  <c r="O221" i="16"/>
  <c r="N221" i="16"/>
  <c r="U221" i="16" s="1"/>
  <c r="M222" i="16"/>
  <c r="P221" i="16"/>
  <c r="O226" i="4"/>
  <c r="Q226" i="4" s="1"/>
  <c r="P226" i="4"/>
  <c r="N226" i="4"/>
  <c r="U225" i="4" a="1"/>
  <c r="U225" i="4" s="1"/>
  <c r="M227" i="4"/>
  <c r="R225" i="4" a="1"/>
  <c r="R225" i="4" s="1"/>
  <c r="S225" i="4" a="1"/>
  <c r="S225" i="4" s="1"/>
  <c r="O222" i="16" l="1"/>
  <c r="N222" i="16"/>
  <c r="U222" i="16" s="1"/>
  <c r="Q221" i="16"/>
  <c r="S221" i="16"/>
  <c r="R221" i="16"/>
  <c r="M223" i="16"/>
  <c r="P222" i="16"/>
  <c r="O227" i="4"/>
  <c r="Q227" i="4" s="1"/>
  <c r="P227" i="4"/>
  <c r="N227" i="4"/>
  <c r="M228" i="4"/>
  <c r="S226" i="4" a="1"/>
  <c r="S226" i="4" s="1"/>
  <c r="R226" i="4" a="1"/>
  <c r="R226" i="4" s="1"/>
  <c r="U226" i="4" a="1"/>
  <c r="U226" i="4" s="1"/>
  <c r="N223" i="16" l="1"/>
  <c r="U223" i="16" s="1"/>
  <c r="O223" i="16"/>
  <c r="S222" i="16"/>
  <c r="R222" i="16"/>
  <c r="Q222" i="16"/>
  <c r="P223" i="16"/>
  <c r="M224" i="16"/>
  <c r="N228" i="4"/>
  <c r="O228" i="4"/>
  <c r="Q228" i="4" s="1"/>
  <c r="P228" i="4"/>
  <c r="M229" i="4"/>
  <c r="S227" i="4" a="1"/>
  <c r="S227" i="4" s="1"/>
  <c r="R227" i="4" a="1"/>
  <c r="R227" i="4" s="1"/>
  <c r="U227" i="4" a="1"/>
  <c r="U227" i="4" s="1"/>
  <c r="O224" i="16" l="1"/>
  <c r="N224" i="16"/>
  <c r="U224" i="16" s="1"/>
  <c r="R223" i="16"/>
  <c r="S223" i="16"/>
  <c r="Q223" i="16"/>
  <c r="M225" i="16"/>
  <c r="P224" i="16"/>
  <c r="P229" i="4"/>
  <c r="O229" i="4"/>
  <c r="Q229" i="4" s="1"/>
  <c r="N229" i="4"/>
  <c r="U228" i="4" a="1"/>
  <c r="U228" i="4" s="1"/>
  <c r="M230" i="4"/>
  <c r="R228" i="4" a="1"/>
  <c r="R228" i="4" s="1"/>
  <c r="S228" i="4" a="1"/>
  <c r="S228" i="4" s="1"/>
  <c r="N225" i="16" l="1"/>
  <c r="U225" i="16" s="1"/>
  <c r="O225" i="16"/>
  <c r="R224" i="16"/>
  <c r="S224" i="16"/>
  <c r="Q224" i="16"/>
  <c r="M226" i="16"/>
  <c r="P225" i="16"/>
  <c r="P230" i="4"/>
  <c r="N230" i="4"/>
  <c r="O230" i="4"/>
  <c r="Q230" i="4" s="1"/>
  <c r="U229" i="4" a="1"/>
  <c r="U229" i="4" s="1"/>
  <c r="R229" i="4" a="1"/>
  <c r="R229" i="4" s="1"/>
  <c r="S229" i="4" a="1"/>
  <c r="S229" i="4" s="1"/>
  <c r="M231" i="4"/>
  <c r="N226" i="16" l="1"/>
  <c r="U226" i="16" s="1"/>
  <c r="O226" i="16"/>
  <c r="R225" i="16"/>
  <c r="S225" i="16"/>
  <c r="Q225" i="16"/>
  <c r="M227" i="16"/>
  <c r="P226" i="16"/>
  <c r="P231" i="4"/>
  <c r="O231" i="4"/>
  <c r="Q231" i="4" s="1"/>
  <c r="N231" i="4"/>
  <c r="M232" i="4"/>
  <c r="R230" i="4" a="1"/>
  <c r="R230" i="4" s="1"/>
  <c r="S230" i="4" a="1"/>
  <c r="S230" i="4" s="1"/>
  <c r="U230" i="4" a="1"/>
  <c r="U230" i="4" s="1"/>
  <c r="O227" i="16" l="1"/>
  <c r="N227" i="16"/>
  <c r="U227" i="16" s="1"/>
  <c r="S226" i="16"/>
  <c r="Q226" i="16"/>
  <c r="R226" i="16"/>
  <c r="P227" i="16"/>
  <c r="M228" i="16"/>
  <c r="P232" i="4"/>
  <c r="O232" i="4"/>
  <c r="Q232" i="4" s="1"/>
  <c r="N232" i="4"/>
  <c r="R231" i="4" a="1"/>
  <c r="R231" i="4" s="1"/>
  <c r="S231" i="4" a="1"/>
  <c r="S231" i="4" s="1"/>
  <c r="U231" i="4" a="1"/>
  <c r="U231" i="4" s="1"/>
  <c r="M233" i="4"/>
  <c r="N228" i="16" l="1"/>
  <c r="U228" i="16" s="1"/>
  <c r="O228" i="16"/>
  <c r="S227" i="16"/>
  <c r="R227" i="16"/>
  <c r="Q227" i="16"/>
  <c r="P228" i="16"/>
  <c r="M229" i="16"/>
  <c r="O233" i="4"/>
  <c r="Q233" i="4" s="1"/>
  <c r="P233" i="4"/>
  <c r="N233" i="4"/>
  <c r="U232" i="4" a="1"/>
  <c r="U232" i="4" s="1"/>
  <c r="R232" i="4" a="1"/>
  <c r="R232" i="4" s="1"/>
  <c r="S232" i="4" a="1"/>
  <c r="S232" i="4" s="1"/>
  <c r="M234" i="4"/>
  <c r="O229" i="16" l="1"/>
  <c r="N229" i="16"/>
  <c r="U229" i="16" s="1"/>
  <c r="R228" i="16"/>
  <c r="S228" i="16"/>
  <c r="Q228" i="16"/>
  <c r="M230" i="16"/>
  <c r="P229" i="16"/>
  <c r="O234" i="4"/>
  <c r="Q234" i="4" s="1"/>
  <c r="P234" i="4"/>
  <c r="N234" i="4"/>
  <c r="U233" i="4" a="1"/>
  <c r="U233" i="4" s="1"/>
  <c r="R233" i="4" a="1"/>
  <c r="R233" i="4" s="1"/>
  <c r="S233" i="4" a="1"/>
  <c r="S233" i="4" s="1"/>
  <c r="M235" i="4"/>
  <c r="S229" i="16" l="1"/>
  <c r="R229" i="16"/>
  <c r="Q229" i="16"/>
  <c r="N230" i="16"/>
  <c r="U230" i="16" s="1"/>
  <c r="O230" i="16"/>
  <c r="M231" i="16"/>
  <c r="P230" i="16"/>
  <c r="N235" i="4"/>
  <c r="P235" i="4"/>
  <c r="O235" i="4"/>
  <c r="Q235" i="4" s="1"/>
  <c r="S234" i="4" a="1"/>
  <c r="S234" i="4" s="1"/>
  <c r="R234" i="4" a="1"/>
  <c r="R234" i="4" s="1"/>
  <c r="M236" i="4"/>
  <c r="U234" i="4" a="1"/>
  <c r="U234" i="4" s="1"/>
  <c r="O231" i="16" l="1"/>
  <c r="N231" i="16"/>
  <c r="U231" i="16" s="1"/>
  <c r="S230" i="16"/>
  <c r="Q230" i="16"/>
  <c r="R230" i="16"/>
  <c r="M232" i="16"/>
  <c r="P231" i="16"/>
  <c r="P236" i="4"/>
  <c r="N236" i="4"/>
  <c r="O236" i="4"/>
  <c r="Q236" i="4" s="1"/>
  <c r="S235" i="4" a="1"/>
  <c r="S235" i="4" s="1"/>
  <c r="R235" i="4" a="1"/>
  <c r="R235" i="4" s="1"/>
  <c r="U235" i="4" a="1"/>
  <c r="U235" i="4" s="1"/>
  <c r="M237" i="4"/>
  <c r="Q231" i="16" l="1"/>
  <c r="S231" i="16"/>
  <c r="R231" i="16"/>
  <c r="O232" i="16"/>
  <c r="N232" i="16"/>
  <c r="U232" i="16" s="1"/>
  <c r="P232" i="16"/>
  <c r="M233" i="16"/>
  <c r="O237" i="4"/>
  <c r="Q237" i="4" s="1"/>
  <c r="P237" i="4"/>
  <c r="N237" i="4"/>
  <c r="R236" i="4" a="1"/>
  <c r="R236" i="4" s="1"/>
  <c r="S236" i="4" a="1"/>
  <c r="S236" i="4" s="1"/>
  <c r="M238" i="4"/>
  <c r="U236" i="4" a="1"/>
  <c r="U236" i="4" s="1"/>
  <c r="O233" i="16" l="1"/>
  <c r="N233" i="16"/>
  <c r="U233" i="16" s="1"/>
  <c r="R232" i="16"/>
  <c r="S232" i="16"/>
  <c r="Q232" i="16"/>
  <c r="P233" i="16"/>
  <c r="M234" i="16"/>
  <c r="O238" i="4"/>
  <c r="Q238" i="4" s="1"/>
  <c r="P238" i="4"/>
  <c r="N238" i="4"/>
  <c r="U237" i="4" a="1"/>
  <c r="U237" i="4" s="1"/>
  <c r="M239" i="4"/>
  <c r="R237" i="4" a="1"/>
  <c r="R237" i="4" s="1"/>
  <c r="S237" i="4" a="1"/>
  <c r="S237" i="4" s="1"/>
  <c r="N234" i="16" l="1"/>
  <c r="U234" i="16" s="1"/>
  <c r="O234" i="16"/>
  <c r="R233" i="16"/>
  <c r="S233" i="16"/>
  <c r="Q233" i="16"/>
  <c r="M235" i="16"/>
  <c r="P234" i="16"/>
  <c r="P239" i="4"/>
  <c r="O239" i="4"/>
  <c r="Q239" i="4" s="1"/>
  <c r="N239" i="4"/>
  <c r="U238" i="4" a="1"/>
  <c r="U238" i="4" s="1"/>
  <c r="M240" i="4"/>
  <c r="R238" i="4" a="1"/>
  <c r="R238" i="4" s="1"/>
  <c r="S238" i="4" a="1"/>
  <c r="S238" i="4" s="1"/>
  <c r="O235" i="16" l="1"/>
  <c r="N235" i="16"/>
  <c r="U235" i="16" s="1"/>
  <c r="S234" i="16"/>
  <c r="R234" i="16"/>
  <c r="Q234" i="16"/>
  <c r="M236" i="16"/>
  <c r="P235" i="16"/>
  <c r="P240" i="4"/>
  <c r="N240" i="4"/>
  <c r="O240" i="4"/>
  <c r="Q240" i="4" s="1"/>
  <c r="U239" i="4" a="1"/>
  <c r="U239" i="4" s="1"/>
  <c r="R239" i="4" a="1"/>
  <c r="R239" i="4" s="1"/>
  <c r="S239" i="4" a="1"/>
  <c r="S239" i="4" s="1"/>
  <c r="M241" i="4"/>
  <c r="N236" i="16" l="1"/>
  <c r="U236" i="16" s="1"/>
  <c r="O236" i="16"/>
  <c r="Q235" i="16"/>
  <c r="S235" i="16"/>
  <c r="R235" i="16"/>
  <c r="P236" i="16"/>
  <c r="M237" i="16"/>
  <c r="O241" i="4"/>
  <c r="Q241" i="4" s="1"/>
  <c r="P241" i="4"/>
  <c r="N241" i="4"/>
  <c r="M242" i="4"/>
  <c r="U240" i="4" a="1"/>
  <c r="U240" i="4" s="1"/>
  <c r="R240" i="4" a="1"/>
  <c r="R240" i="4" s="1"/>
  <c r="S240" i="4" a="1"/>
  <c r="S240" i="4" s="1"/>
  <c r="O237" i="16" l="1"/>
  <c r="N237" i="16"/>
  <c r="U237" i="16" s="1"/>
  <c r="S236" i="16"/>
  <c r="R236" i="16"/>
  <c r="Q236" i="16"/>
  <c r="M238" i="16"/>
  <c r="P237" i="16"/>
  <c r="O242" i="4"/>
  <c r="Q242" i="4" s="1"/>
  <c r="P242" i="4"/>
  <c r="N242" i="4"/>
  <c r="M243" i="4"/>
  <c r="R241" i="4" a="1"/>
  <c r="R241" i="4" s="1"/>
  <c r="S241" i="4" a="1"/>
  <c r="S241" i="4" s="1"/>
  <c r="U241" i="4" a="1"/>
  <c r="U241" i="4" s="1"/>
  <c r="Q237" i="16" l="1"/>
  <c r="S237" i="16"/>
  <c r="R237" i="16"/>
  <c r="N238" i="16"/>
  <c r="U238" i="16" s="1"/>
  <c r="O238" i="16"/>
  <c r="P238" i="16"/>
  <c r="M239" i="16"/>
  <c r="O243" i="4"/>
  <c r="Q243" i="4" s="1"/>
  <c r="P243" i="4"/>
  <c r="N243" i="4"/>
  <c r="M244" i="4"/>
  <c r="S242" i="4" a="1"/>
  <c r="S242" i="4" s="1"/>
  <c r="R242" i="4" a="1"/>
  <c r="R242" i="4" s="1"/>
  <c r="U242" i="4" a="1"/>
  <c r="U242" i="4" s="1"/>
  <c r="O239" i="16" l="1"/>
  <c r="N239" i="16"/>
  <c r="U239" i="16" s="1"/>
  <c r="S238" i="16"/>
  <c r="R238" i="16"/>
  <c r="Q238" i="16"/>
  <c r="M240" i="16"/>
  <c r="P239" i="16"/>
  <c r="O244" i="4"/>
  <c r="Q244" i="4" s="1"/>
  <c r="P244" i="4"/>
  <c r="N244" i="4"/>
  <c r="M245" i="4"/>
  <c r="R243" i="4" a="1"/>
  <c r="R243" i="4" s="1"/>
  <c r="S243" i="4" a="1"/>
  <c r="S243" i="4" s="1"/>
  <c r="U243" i="4" a="1"/>
  <c r="U243" i="4" s="1"/>
  <c r="S239" i="16" l="1"/>
  <c r="R239" i="16"/>
  <c r="Q239" i="16"/>
  <c r="O240" i="16"/>
  <c r="N240" i="16"/>
  <c r="U240" i="16" s="1"/>
  <c r="P240" i="16"/>
  <c r="M241" i="16"/>
  <c r="O245" i="4"/>
  <c r="Q245" i="4" s="1"/>
  <c r="P245" i="4"/>
  <c r="N245" i="4"/>
  <c r="R244" i="4" a="1"/>
  <c r="R244" i="4" s="1"/>
  <c r="S244" i="4" a="1"/>
  <c r="S244" i="4" s="1"/>
  <c r="U244" i="4" a="1"/>
  <c r="U244" i="4" s="1"/>
  <c r="M246" i="4"/>
  <c r="R240" i="16" l="1"/>
  <c r="S240" i="16"/>
  <c r="Q240" i="16"/>
  <c r="N241" i="16"/>
  <c r="U241" i="16" s="1"/>
  <c r="O241" i="16"/>
  <c r="P241" i="16"/>
  <c r="M242" i="16"/>
  <c r="O246" i="4"/>
  <c r="Q246" i="4" s="1"/>
  <c r="P246" i="4"/>
  <c r="N246" i="4"/>
  <c r="S245" i="4" a="1"/>
  <c r="S245" i="4" s="1"/>
  <c r="R245" i="4" a="1"/>
  <c r="R245" i="4" s="1"/>
  <c r="U245" i="4" a="1"/>
  <c r="U245" i="4" s="1"/>
  <c r="M247" i="4"/>
  <c r="N242" i="16" l="1"/>
  <c r="U242" i="16" s="1"/>
  <c r="O242" i="16"/>
  <c r="R241" i="16"/>
  <c r="Q241" i="16"/>
  <c r="S241" i="16"/>
  <c r="M243" i="16"/>
  <c r="P242" i="16"/>
  <c r="O247" i="4"/>
  <c r="Q247" i="4" s="1"/>
  <c r="P247" i="4"/>
  <c r="N247" i="4"/>
  <c r="U246" i="4" a="1"/>
  <c r="U246" i="4" s="1"/>
  <c r="M248" i="4"/>
  <c r="R246" i="4" a="1"/>
  <c r="R246" i="4" s="1"/>
  <c r="S246" i="4" a="1"/>
  <c r="S246" i="4" s="1"/>
  <c r="O243" i="16" l="1"/>
  <c r="N243" i="16"/>
  <c r="U243" i="16" s="1"/>
  <c r="Q242" i="16"/>
  <c r="S242" i="16"/>
  <c r="R242" i="16"/>
  <c r="P243" i="16"/>
  <c r="M244" i="16"/>
  <c r="P248" i="4"/>
  <c r="O248" i="4"/>
  <c r="Q248" i="4" s="1"/>
  <c r="N248" i="4"/>
  <c r="M249" i="4"/>
  <c r="U247" i="4" a="1"/>
  <c r="U247" i="4" s="1"/>
  <c r="S247" i="4" a="1"/>
  <c r="S247" i="4" s="1"/>
  <c r="R247" i="4" a="1"/>
  <c r="R247" i="4" s="1"/>
  <c r="N244" i="16" l="1"/>
  <c r="U244" i="16" s="1"/>
  <c r="O244" i="16"/>
  <c r="S243" i="16"/>
  <c r="R243" i="16"/>
  <c r="Q243" i="16"/>
  <c r="P244" i="16"/>
  <c r="M245" i="16"/>
  <c r="O249" i="4"/>
  <c r="Q249" i="4" s="1"/>
  <c r="P249" i="4"/>
  <c r="N249" i="4"/>
  <c r="M250" i="4"/>
  <c r="R248" i="4" a="1"/>
  <c r="R248" i="4" s="1"/>
  <c r="S248" i="4" a="1"/>
  <c r="S248" i="4" s="1"/>
  <c r="U248" i="4" a="1"/>
  <c r="U248" i="4" s="1"/>
  <c r="O245" i="16" l="1"/>
  <c r="N245" i="16"/>
  <c r="U245" i="16" s="1"/>
  <c r="S244" i="16"/>
  <c r="R244" i="16"/>
  <c r="Q244" i="16"/>
  <c r="M246" i="16"/>
  <c r="P245" i="16"/>
  <c r="O250" i="4"/>
  <c r="Q250" i="4" s="1"/>
  <c r="N250" i="4"/>
  <c r="P250" i="4"/>
  <c r="R249" i="4" a="1"/>
  <c r="R249" i="4" s="1"/>
  <c r="S249" i="4" a="1"/>
  <c r="S249" i="4" s="1"/>
  <c r="U249" i="4" a="1"/>
  <c r="U249" i="4" s="1"/>
  <c r="M251" i="4"/>
  <c r="O246" i="16" l="1"/>
  <c r="N246" i="16"/>
  <c r="U246" i="16" s="1"/>
  <c r="R245" i="16"/>
  <c r="Q245" i="16"/>
  <c r="S245" i="16"/>
  <c r="P246" i="16"/>
  <c r="M247" i="16"/>
  <c r="O251" i="4"/>
  <c r="Q251" i="4" s="1"/>
  <c r="P251" i="4"/>
  <c r="N251" i="4"/>
  <c r="S250" i="4" a="1"/>
  <c r="S250" i="4" s="1"/>
  <c r="R250" i="4" a="1"/>
  <c r="R250" i="4" s="1"/>
  <c r="U250" i="4" a="1"/>
  <c r="U250" i="4" s="1"/>
  <c r="M252" i="4"/>
  <c r="O247" i="16" l="1"/>
  <c r="N247" i="16"/>
  <c r="U247" i="16" s="1"/>
  <c r="S246" i="16"/>
  <c r="Q246" i="16"/>
  <c r="R246" i="16"/>
  <c r="M248" i="16"/>
  <c r="P247" i="16"/>
  <c r="O252" i="4"/>
  <c r="Q252" i="4" s="1"/>
  <c r="P252" i="4"/>
  <c r="N252" i="4"/>
  <c r="R251" i="4" a="1"/>
  <c r="R251" i="4" s="1"/>
  <c r="S251" i="4" a="1"/>
  <c r="S251" i="4" s="1"/>
  <c r="M253" i="4"/>
  <c r="U251" i="4" a="1"/>
  <c r="U251" i="4" s="1"/>
  <c r="N248" i="16" l="1"/>
  <c r="U248" i="16" s="1"/>
  <c r="O248" i="16"/>
  <c r="R247" i="16"/>
  <c r="S247" i="16"/>
  <c r="Q247" i="16"/>
  <c r="M249" i="16"/>
  <c r="P248" i="16"/>
  <c r="O253" i="4"/>
  <c r="Q253" i="4" s="1"/>
  <c r="P253" i="4"/>
  <c r="N253" i="4"/>
  <c r="R252" i="4" a="1"/>
  <c r="R252" i="4" s="1"/>
  <c r="S252" i="4" a="1"/>
  <c r="S252" i="4" s="1"/>
  <c r="M254" i="4"/>
  <c r="U252" i="4" a="1"/>
  <c r="U252" i="4" s="1"/>
  <c r="N249" i="16" l="1"/>
  <c r="U249" i="16" s="1"/>
  <c r="O249" i="16"/>
  <c r="R248" i="16"/>
  <c r="Q248" i="16"/>
  <c r="S248" i="16"/>
  <c r="P249" i="16"/>
  <c r="M250" i="16"/>
  <c r="O254" i="4"/>
  <c r="Q254" i="4" s="1"/>
  <c r="P254" i="4"/>
  <c r="N254" i="4"/>
  <c r="R253" i="4" a="1"/>
  <c r="R253" i="4" s="1"/>
  <c r="S253" i="4" a="1"/>
  <c r="S253" i="4" s="1"/>
  <c r="U253" i="4" a="1"/>
  <c r="U253" i="4" s="1"/>
  <c r="M255" i="4"/>
  <c r="N250" i="16" l="1"/>
  <c r="U250" i="16" s="1"/>
  <c r="O250" i="16"/>
  <c r="R249" i="16"/>
  <c r="S249" i="16"/>
  <c r="Q249" i="16"/>
  <c r="M251" i="16"/>
  <c r="P250" i="16"/>
  <c r="O255" i="4"/>
  <c r="Q255" i="4" s="1"/>
  <c r="P255" i="4"/>
  <c r="N255" i="4"/>
  <c r="M256" i="4"/>
  <c r="U254" i="4" a="1"/>
  <c r="U254" i="4" s="1"/>
  <c r="R254" i="4" a="1"/>
  <c r="R254" i="4" s="1"/>
  <c r="S254" i="4" a="1"/>
  <c r="S254" i="4" s="1"/>
  <c r="O251" i="16" l="1"/>
  <c r="N251" i="16"/>
  <c r="U251" i="16" s="1"/>
  <c r="R250" i="16"/>
  <c r="Q250" i="16"/>
  <c r="S250" i="16"/>
  <c r="M252" i="16"/>
  <c r="P251" i="16"/>
  <c r="O256" i="4"/>
  <c r="Q256" i="4" s="1"/>
  <c r="P256" i="4"/>
  <c r="N256" i="4"/>
  <c r="M257" i="4"/>
  <c r="S255" i="4" a="1"/>
  <c r="S255" i="4" s="1"/>
  <c r="R255" i="4" a="1"/>
  <c r="R255" i="4" s="1"/>
  <c r="U255" i="4" a="1"/>
  <c r="U255" i="4" s="1"/>
  <c r="O252" i="16" l="1"/>
  <c r="N252" i="16"/>
  <c r="U252" i="16" s="1"/>
  <c r="Q251" i="16"/>
  <c r="S251" i="16"/>
  <c r="R251" i="16"/>
  <c r="P252" i="16"/>
  <c r="M253" i="16"/>
  <c r="O257" i="4"/>
  <c r="Q257" i="4" s="1"/>
  <c r="N257" i="4"/>
  <c r="P257" i="4"/>
  <c r="M258" i="4"/>
  <c r="R256" i="4" a="1"/>
  <c r="R256" i="4" s="1"/>
  <c r="S256" i="4" a="1"/>
  <c r="S256" i="4" s="1"/>
  <c r="U256" i="4" a="1"/>
  <c r="U256" i="4" s="1"/>
  <c r="N253" i="16" l="1"/>
  <c r="U253" i="16" s="1"/>
  <c r="O253" i="16"/>
  <c r="R252" i="16"/>
  <c r="S252" i="16"/>
  <c r="Q252" i="16"/>
  <c r="P253" i="16"/>
  <c r="M254" i="16"/>
  <c r="N258" i="4"/>
  <c r="O258" i="4"/>
  <c r="Q258" i="4" s="1"/>
  <c r="P258" i="4"/>
  <c r="R257" i="4" a="1"/>
  <c r="R257" i="4" s="1"/>
  <c r="S257" i="4" a="1"/>
  <c r="S257" i="4" s="1"/>
  <c r="U257" i="4" a="1"/>
  <c r="U257" i="4" s="1"/>
  <c r="M259" i="4"/>
  <c r="R253" i="16" l="1"/>
  <c r="Q253" i="16"/>
  <c r="S253" i="16"/>
  <c r="O254" i="16"/>
  <c r="N254" i="16"/>
  <c r="U254" i="16" s="1"/>
  <c r="M255" i="16"/>
  <c r="P254" i="16"/>
  <c r="P259" i="4"/>
  <c r="O259" i="4"/>
  <c r="Q259" i="4" s="1"/>
  <c r="N259" i="4"/>
  <c r="U258" i="4" a="1"/>
  <c r="U258" i="4" s="1"/>
  <c r="S258" i="4" a="1"/>
  <c r="S258" i="4" s="1"/>
  <c r="R258" i="4" a="1"/>
  <c r="R258" i="4" s="1"/>
  <c r="M260" i="4"/>
  <c r="O255" i="16" l="1"/>
  <c r="N255" i="16"/>
  <c r="U255" i="16" s="1"/>
  <c r="S254" i="16"/>
  <c r="Q254" i="16"/>
  <c r="R254" i="16"/>
  <c r="M256" i="16"/>
  <c r="P255" i="16"/>
  <c r="O260" i="4"/>
  <c r="Q260" i="4" s="1"/>
  <c r="P260" i="4"/>
  <c r="N260" i="4"/>
  <c r="R259" i="4" a="1"/>
  <c r="R259" i="4" s="1"/>
  <c r="S259" i="4" a="1"/>
  <c r="S259" i="4" s="1"/>
  <c r="M261" i="4"/>
  <c r="U259" i="4" a="1"/>
  <c r="U259" i="4" s="1"/>
  <c r="O256" i="16" l="1"/>
  <c r="N256" i="16"/>
  <c r="U256" i="16" s="1"/>
  <c r="S255" i="16"/>
  <c r="R255" i="16"/>
  <c r="Q255" i="16"/>
  <c r="P256" i="16"/>
  <c r="M257" i="16"/>
  <c r="O261" i="4"/>
  <c r="Q261" i="4" s="1"/>
  <c r="P261" i="4"/>
  <c r="N261" i="4"/>
  <c r="R260" i="4" a="1"/>
  <c r="R260" i="4" s="1"/>
  <c r="S260" i="4" a="1"/>
  <c r="S260" i="4" s="1"/>
  <c r="U260" i="4" a="1"/>
  <c r="U260" i="4" s="1"/>
  <c r="M262" i="4"/>
  <c r="O257" i="16" l="1"/>
  <c r="N257" i="16"/>
  <c r="U257" i="16" s="1"/>
  <c r="R256" i="16"/>
  <c r="S256" i="16"/>
  <c r="Q256" i="16"/>
  <c r="M258" i="16"/>
  <c r="P257" i="16"/>
  <c r="O262" i="4"/>
  <c r="Q262" i="4" s="1"/>
  <c r="P262" i="4"/>
  <c r="N262" i="4"/>
  <c r="U261" i="4" a="1"/>
  <c r="U261" i="4" s="1"/>
  <c r="R261" i="4" a="1"/>
  <c r="R261" i="4" s="1"/>
  <c r="S261" i="4" a="1"/>
  <c r="S261" i="4" s="1"/>
  <c r="M263" i="4"/>
  <c r="O258" i="16" l="1"/>
  <c r="N258" i="16"/>
  <c r="U258" i="16" s="1"/>
  <c r="R257" i="16"/>
  <c r="S257" i="16"/>
  <c r="Q257" i="16"/>
  <c r="P258" i="16"/>
  <c r="M259" i="16"/>
  <c r="N263" i="4"/>
  <c r="O263" i="4"/>
  <c r="Q263" i="4" s="1"/>
  <c r="P263" i="4"/>
  <c r="M264" i="4"/>
  <c r="U262" i="4" a="1"/>
  <c r="U262" i="4" s="1"/>
  <c r="R262" i="4" a="1"/>
  <c r="R262" i="4" s="1"/>
  <c r="S262" i="4" a="1"/>
  <c r="S262" i="4" s="1"/>
  <c r="O259" i="16" l="1"/>
  <c r="N259" i="16"/>
  <c r="U259" i="16" s="1"/>
  <c r="R258" i="16"/>
  <c r="Q258" i="16"/>
  <c r="S258" i="16"/>
  <c r="P259" i="16"/>
  <c r="M260" i="16"/>
  <c r="P264" i="4"/>
  <c r="O264" i="4"/>
  <c r="Q264" i="4" s="1"/>
  <c r="N264" i="4"/>
  <c r="M265" i="4"/>
  <c r="S263" i="4" a="1"/>
  <c r="S263" i="4" s="1"/>
  <c r="R263" i="4" a="1"/>
  <c r="R263" i="4" s="1"/>
  <c r="U263" i="4" a="1"/>
  <c r="U263" i="4" s="1"/>
  <c r="O260" i="16" l="1"/>
  <c r="N260" i="16"/>
  <c r="U260" i="16" s="1"/>
  <c r="Q259" i="16"/>
  <c r="S259" i="16"/>
  <c r="R259" i="16"/>
  <c r="P260" i="16"/>
  <c r="M261" i="16"/>
  <c r="O265" i="4"/>
  <c r="Q265" i="4" s="1"/>
  <c r="P265" i="4"/>
  <c r="N265" i="4"/>
  <c r="M266" i="4"/>
  <c r="R264" i="4" a="1"/>
  <c r="R264" i="4" s="1"/>
  <c r="S264" i="4" a="1"/>
  <c r="S264" i="4" s="1"/>
  <c r="U264" i="4" a="1"/>
  <c r="U264" i="4" s="1"/>
  <c r="O261" i="16" l="1"/>
  <c r="N261" i="16"/>
  <c r="U261" i="16" s="1"/>
  <c r="R260" i="16"/>
  <c r="S260" i="16"/>
  <c r="Q260" i="16"/>
  <c r="P261" i="16"/>
  <c r="M262" i="16"/>
  <c r="P266" i="4"/>
  <c r="N266" i="4"/>
  <c r="O266" i="4"/>
  <c r="Q266" i="4" s="1"/>
  <c r="R265" i="4" a="1"/>
  <c r="R265" i="4" s="1"/>
  <c r="S265" i="4" a="1"/>
  <c r="S265" i="4" s="1"/>
  <c r="U265" i="4" a="1"/>
  <c r="U265" i="4" s="1"/>
  <c r="M267" i="4"/>
  <c r="O262" i="16" l="1"/>
  <c r="N262" i="16"/>
  <c r="U262" i="16" s="1"/>
  <c r="S261" i="16"/>
  <c r="Q261" i="16"/>
  <c r="R261" i="16"/>
  <c r="M263" i="16"/>
  <c r="P262" i="16"/>
  <c r="P267" i="4"/>
  <c r="O267" i="4"/>
  <c r="Q267" i="4" s="1"/>
  <c r="N267" i="4"/>
  <c r="M268" i="4"/>
  <c r="U266" i="4" a="1"/>
  <c r="U266" i="4" s="1"/>
  <c r="S266" i="4" a="1"/>
  <c r="S266" i="4" s="1"/>
  <c r="R266" i="4" a="1"/>
  <c r="R266" i="4" s="1"/>
  <c r="O263" i="16" l="1"/>
  <c r="N263" i="16"/>
  <c r="U263" i="16" s="1"/>
  <c r="S262" i="16"/>
  <c r="R262" i="16"/>
  <c r="Q262" i="16"/>
  <c r="M264" i="16"/>
  <c r="P263" i="16"/>
  <c r="O268" i="4"/>
  <c r="Q268" i="4" s="1"/>
  <c r="P268" i="4"/>
  <c r="N268" i="4"/>
  <c r="U267" i="4" a="1"/>
  <c r="U267" i="4" s="1"/>
  <c r="M269" i="4"/>
  <c r="R267" i="4" a="1"/>
  <c r="R267" i="4" s="1"/>
  <c r="S267" i="4" a="1"/>
  <c r="S267" i="4" s="1"/>
  <c r="O264" i="16" l="1"/>
  <c r="N264" i="16"/>
  <c r="U264" i="16" s="1"/>
  <c r="S263" i="16"/>
  <c r="Q263" i="16"/>
  <c r="R263" i="16"/>
  <c r="P264" i="16"/>
  <c r="M265" i="16"/>
  <c r="O269" i="4"/>
  <c r="Q269" i="4" s="1"/>
  <c r="P269" i="4"/>
  <c r="N269" i="4"/>
  <c r="M270" i="4"/>
  <c r="U268" i="4" a="1"/>
  <c r="U268" i="4" s="1"/>
  <c r="S268" i="4" a="1"/>
  <c r="S268" i="4" s="1"/>
  <c r="R268" i="4" a="1"/>
  <c r="R268" i="4" s="1"/>
  <c r="R264" i="16" l="1"/>
  <c r="Q264" i="16"/>
  <c r="S264" i="16"/>
  <c r="N265" i="16"/>
  <c r="U265" i="16" s="1"/>
  <c r="O265" i="16"/>
  <c r="M266" i="16"/>
  <c r="P265" i="16"/>
  <c r="O270" i="4"/>
  <c r="Q270" i="4" s="1"/>
  <c r="P270" i="4"/>
  <c r="N270" i="4"/>
  <c r="M271" i="4"/>
  <c r="R269" i="4" a="1"/>
  <c r="R269" i="4" s="1"/>
  <c r="S269" i="4" a="1"/>
  <c r="S269" i="4" s="1"/>
  <c r="U269" i="4" a="1"/>
  <c r="U269" i="4" s="1"/>
  <c r="O266" i="16" l="1"/>
  <c r="N266" i="16"/>
  <c r="U266" i="16" s="1"/>
  <c r="R265" i="16"/>
  <c r="S265" i="16"/>
  <c r="Q265" i="16"/>
  <c r="M267" i="16"/>
  <c r="P266" i="16"/>
  <c r="O271" i="4"/>
  <c r="Q271" i="4" s="1"/>
  <c r="P271" i="4"/>
  <c r="N271" i="4"/>
  <c r="R270" i="4" a="1"/>
  <c r="R270" i="4" s="1"/>
  <c r="S270" i="4" a="1"/>
  <c r="S270" i="4" s="1"/>
  <c r="U270" i="4" a="1"/>
  <c r="U270" i="4" s="1"/>
  <c r="M272" i="4"/>
  <c r="N267" i="16" l="1"/>
  <c r="U267" i="16" s="1"/>
  <c r="O267" i="16"/>
  <c r="S266" i="16"/>
  <c r="R266" i="16"/>
  <c r="Q266" i="16"/>
  <c r="P267" i="16"/>
  <c r="M268" i="16"/>
  <c r="O272" i="4"/>
  <c r="Q272" i="4" s="1"/>
  <c r="N272" i="4"/>
  <c r="P272" i="4"/>
  <c r="M273" i="4"/>
  <c r="U271" i="4" a="1"/>
  <c r="U271" i="4" s="1"/>
  <c r="S271" i="4" a="1"/>
  <c r="S271" i="4" s="1"/>
  <c r="R271" i="4" a="1"/>
  <c r="R271" i="4" s="1"/>
  <c r="O268" i="16" l="1"/>
  <c r="N268" i="16"/>
  <c r="U268" i="16" s="1"/>
  <c r="S267" i="16"/>
  <c r="R267" i="16"/>
  <c r="Q267" i="16"/>
  <c r="M269" i="16"/>
  <c r="P268" i="16"/>
  <c r="P273" i="4"/>
  <c r="O273" i="4"/>
  <c r="Q273" i="4" s="1"/>
  <c r="N273" i="4"/>
  <c r="U272" i="4" a="1"/>
  <c r="U272" i="4" s="1"/>
  <c r="M274" i="4"/>
  <c r="R272" i="4" a="1"/>
  <c r="R272" i="4" s="1"/>
  <c r="S272" i="4" a="1"/>
  <c r="S272" i="4" s="1"/>
  <c r="S268" i="16" l="1"/>
  <c r="Q268" i="16"/>
  <c r="R268" i="16"/>
  <c r="N269" i="16"/>
  <c r="U269" i="16" s="1"/>
  <c r="O269" i="16"/>
  <c r="M270" i="16"/>
  <c r="P269" i="16"/>
  <c r="O274" i="4"/>
  <c r="Q274" i="4" s="1"/>
  <c r="P274" i="4"/>
  <c r="N274" i="4"/>
  <c r="R273" i="4" a="1"/>
  <c r="R273" i="4" s="1"/>
  <c r="S273" i="4" a="1"/>
  <c r="S273" i="4" s="1"/>
  <c r="M275" i="4"/>
  <c r="U273" i="4" a="1"/>
  <c r="U273" i="4" s="1"/>
  <c r="S269" i="16" l="1"/>
  <c r="R269" i="16"/>
  <c r="Q269" i="16"/>
  <c r="O270" i="16"/>
  <c r="N270" i="16"/>
  <c r="U270" i="16" s="1"/>
  <c r="M271" i="16"/>
  <c r="P270" i="16"/>
  <c r="P275" i="4"/>
  <c r="O275" i="4"/>
  <c r="Q275" i="4" s="1"/>
  <c r="N275" i="4"/>
  <c r="U274" i="4" a="1"/>
  <c r="U274" i="4" s="1"/>
  <c r="M276" i="4"/>
  <c r="R274" i="4" a="1"/>
  <c r="R274" i="4" s="1"/>
  <c r="S274" i="4" a="1"/>
  <c r="S274" i="4" s="1"/>
  <c r="O271" i="16" l="1"/>
  <c r="N271" i="16"/>
  <c r="U271" i="16" s="1"/>
  <c r="S270" i="16"/>
  <c r="R270" i="16"/>
  <c r="Q270" i="16"/>
  <c r="P271" i="16"/>
  <c r="M272" i="16"/>
  <c r="O276" i="4"/>
  <c r="Q276" i="4" s="1"/>
  <c r="N276" i="4"/>
  <c r="P276" i="4"/>
  <c r="R275" i="4" a="1"/>
  <c r="R275" i="4" s="1"/>
  <c r="S275" i="4" a="1"/>
  <c r="S275" i="4" s="1"/>
  <c r="M277" i="4"/>
  <c r="U275" i="4" a="1"/>
  <c r="U275" i="4" s="1"/>
  <c r="O272" i="16" l="1"/>
  <c r="N272" i="16"/>
  <c r="U272" i="16" s="1"/>
  <c r="R271" i="16"/>
  <c r="Q271" i="16"/>
  <c r="S271" i="16"/>
  <c r="P272" i="16"/>
  <c r="M273" i="16"/>
  <c r="N277" i="4"/>
  <c r="O277" i="4"/>
  <c r="Q277" i="4" s="1"/>
  <c r="P277" i="4"/>
  <c r="M278" i="4"/>
  <c r="U276" i="4" a="1"/>
  <c r="U276" i="4" s="1"/>
  <c r="S276" i="4" a="1"/>
  <c r="S276" i="4" s="1"/>
  <c r="R276" i="4" a="1"/>
  <c r="R276" i="4" s="1"/>
  <c r="O273" i="16" l="1"/>
  <c r="N273" i="16"/>
  <c r="U273" i="16" s="1"/>
  <c r="S272" i="16"/>
  <c r="Q272" i="16"/>
  <c r="R272" i="16"/>
  <c r="M274" i="16"/>
  <c r="P273" i="16"/>
  <c r="O278" i="4"/>
  <c r="Q278" i="4" s="1"/>
  <c r="P278" i="4"/>
  <c r="N278" i="4"/>
  <c r="M279" i="4"/>
  <c r="R277" i="4" a="1"/>
  <c r="R277" i="4" s="1"/>
  <c r="S277" i="4" a="1"/>
  <c r="S277" i="4" s="1"/>
  <c r="U277" i="4" a="1"/>
  <c r="U277" i="4" s="1"/>
  <c r="N274" i="16" l="1"/>
  <c r="U274" i="16" s="1"/>
  <c r="O274" i="16"/>
  <c r="R273" i="16"/>
  <c r="S273" i="16"/>
  <c r="Q273" i="16"/>
  <c r="M275" i="16"/>
  <c r="P274" i="16"/>
  <c r="O279" i="4"/>
  <c r="Q279" i="4" s="1"/>
  <c r="P279" i="4"/>
  <c r="N279" i="4"/>
  <c r="R278" i="4" a="1"/>
  <c r="R278" i="4" s="1"/>
  <c r="S278" i="4" a="1"/>
  <c r="S278" i="4" s="1"/>
  <c r="U278" i="4" a="1"/>
  <c r="U278" i="4" s="1"/>
  <c r="M280" i="4"/>
  <c r="N275" i="16" l="1"/>
  <c r="U275" i="16" s="1"/>
  <c r="O275" i="16"/>
  <c r="S274" i="16"/>
  <c r="Q274" i="16"/>
  <c r="R274" i="16"/>
  <c r="P275" i="16"/>
  <c r="M276" i="16"/>
  <c r="P280" i="4"/>
  <c r="O280" i="4"/>
  <c r="Q280" i="4" s="1"/>
  <c r="N280" i="4"/>
  <c r="M281" i="4"/>
  <c r="U279" i="4" a="1"/>
  <c r="U279" i="4" s="1"/>
  <c r="S279" i="4" a="1"/>
  <c r="S279" i="4" s="1"/>
  <c r="R279" i="4" a="1"/>
  <c r="R279" i="4" s="1"/>
  <c r="N276" i="16" l="1"/>
  <c r="U276" i="16" s="1"/>
  <c r="O276" i="16"/>
  <c r="S275" i="16"/>
  <c r="R275" i="16"/>
  <c r="Q275" i="16"/>
  <c r="P276" i="16"/>
  <c r="M277" i="16"/>
  <c r="O281" i="4"/>
  <c r="Q281" i="4" s="1"/>
  <c r="P281" i="4"/>
  <c r="N281" i="4"/>
  <c r="U280" i="4" a="1"/>
  <c r="U280" i="4" s="1"/>
  <c r="M282" i="4"/>
  <c r="R280" i="4" a="1"/>
  <c r="R280" i="4" s="1"/>
  <c r="S280" i="4" a="1"/>
  <c r="S280" i="4" s="1"/>
  <c r="O277" i="16" l="1"/>
  <c r="N277" i="16"/>
  <c r="U277" i="16" s="1"/>
  <c r="S276" i="16"/>
  <c r="R276" i="16"/>
  <c r="Q276" i="16"/>
  <c r="M278" i="16"/>
  <c r="P277" i="16"/>
  <c r="O282" i="4"/>
  <c r="Q282" i="4" s="1"/>
  <c r="P282" i="4"/>
  <c r="N282" i="4"/>
  <c r="R281" i="4" a="1"/>
  <c r="R281" i="4" s="1"/>
  <c r="S281" i="4" a="1"/>
  <c r="S281" i="4" s="1"/>
  <c r="M283" i="4"/>
  <c r="U281" i="4" a="1"/>
  <c r="U281" i="4" s="1"/>
  <c r="O278" i="16" l="1"/>
  <c r="N278" i="16"/>
  <c r="U278" i="16" s="1"/>
  <c r="S277" i="16"/>
  <c r="R277" i="16"/>
  <c r="Q277" i="16"/>
  <c r="M279" i="16"/>
  <c r="P278" i="16"/>
  <c r="P283" i="4"/>
  <c r="N283" i="4"/>
  <c r="O283" i="4"/>
  <c r="Q283" i="4" s="1"/>
  <c r="R282" i="4" a="1"/>
  <c r="R282" i="4" s="1"/>
  <c r="S282" i="4" a="1"/>
  <c r="S282" i="4" s="1"/>
  <c r="M284" i="4"/>
  <c r="U282" i="4" a="1"/>
  <c r="U282" i="4" s="1"/>
  <c r="S278" i="16" l="1"/>
  <c r="R278" i="16"/>
  <c r="Q278" i="16"/>
  <c r="O279" i="16"/>
  <c r="N279" i="16"/>
  <c r="U279" i="16" s="1"/>
  <c r="M280" i="16"/>
  <c r="P279" i="16"/>
  <c r="P284" i="4"/>
  <c r="O284" i="4"/>
  <c r="Q284" i="4" s="1"/>
  <c r="N284" i="4"/>
  <c r="R283" i="4" a="1"/>
  <c r="R283" i="4" s="1"/>
  <c r="S283" i="4" a="1"/>
  <c r="S283" i="4" s="1"/>
  <c r="U283" i="4" a="1"/>
  <c r="U283" i="4" s="1"/>
  <c r="M285" i="4"/>
  <c r="N280" i="16" l="1"/>
  <c r="U280" i="16" s="1"/>
  <c r="O280" i="16"/>
  <c r="R279" i="16"/>
  <c r="Q279" i="16"/>
  <c r="S279" i="16"/>
  <c r="M281" i="16"/>
  <c r="P280" i="16"/>
  <c r="N285" i="4"/>
  <c r="O285" i="4"/>
  <c r="Q285" i="4" s="1"/>
  <c r="P285" i="4"/>
  <c r="M286" i="4"/>
  <c r="S284" i="4" a="1"/>
  <c r="S284" i="4" s="1"/>
  <c r="R284" i="4" a="1"/>
  <c r="R284" i="4" s="1"/>
  <c r="U284" i="4" a="1"/>
  <c r="U284" i="4" s="1"/>
  <c r="N281" i="16" l="1"/>
  <c r="U281" i="16" s="1"/>
  <c r="O281" i="16"/>
  <c r="R280" i="16"/>
  <c r="S280" i="16"/>
  <c r="Q280" i="16"/>
  <c r="P281" i="16"/>
  <c r="M282" i="16"/>
  <c r="N286" i="4"/>
  <c r="O286" i="4"/>
  <c r="Q286" i="4" s="1"/>
  <c r="P286" i="4"/>
  <c r="M287" i="4"/>
  <c r="R285" i="4" a="1"/>
  <c r="R285" i="4" s="1"/>
  <c r="S285" i="4" a="1"/>
  <c r="S285" i="4" s="1"/>
  <c r="U285" i="4" a="1"/>
  <c r="U285" i="4" s="1"/>
  <c r="O282" i="16" l="1"/>
  <c r="N282" i="16"/>
  <c r="U282" i="16" s="1"/>
  <c r="S281" i="16"/>
  <c r="Q281" i="16"/>
  <c r="R281" i="16"/>
  <c r="P282" i="16"/>
  <c r="M283" i="16"/>
  <c r="P287" i="4"/>
  <c r="O287" i="4"/>
  <c r="Q287" i="4" s="1"/>
  <c r="N287" i="4"/>
  <c r="R286" i="4" a="1"/>
  <c r="R286" i="4" s="1"/>
  <c r="S286" i="4" a="1"/>
  <c r="S286" i="4" s="1"/>
  <c r="M288" i="4"/>
  <c r="U286" i="4" a="1"/>
  <c r="U286" i="4" s="1"/>
  <c r="O283" i="16" l="1"/>
  <c r="N283" i="16"/>
  <c r="U283" i="16" s="1"/>
  <c r="R282" i="16"/>
  <c r="Q282" i="16"/>
  <c r="S282" i="16"/>
  <c r="M284" i="16"/>
  <c r="P283" i="16"/>
  <c r="P288" i="4"/>
  <c r="O288" i="4"/>
  <c r="Q288" i="4" s="1"/>
  <c r="N288" i="4"/>
  <c r="S287" i="4" a="1"/>
  <c r="S287" i="4" s="1"/>
  <c r="R287" i="4" a="1"/>
  <c r="R287" i="4" s="1"/>
  <c r="U287" i="4" a="1"/>
  <c r="U287" i="4" s="1"/>
  <c r="M289" i="4"/>
  <c r="S283" i="16" l="1"/>
  <c r="Q283" i="16"/>
  <c r="R283" i="16"/>
  <c r="O284" i="16"/>
  <c r="N284" i="16"/>
  <c r="U284" i="16" s="1"/>
  <c r="P284" i="16"/>
  <c r="M285" i="16"/>
  <c r="P289" i="4"/>
  <c r="O289" i="4"/>
  <c r="Q289" i="4" s="1"/>
  <c r="N289" i="4"/>
  <c r="R288" i="4" a="1"/>
  <c r="R288" i="4" s="1"/>
  <c r="S288" i="4" a="1"/>
  <c r="S288" i="4" s="1"/>
  <c r="M290" i="4"/>
  <c r="U288" i="4" a="1"/>
  <c r="U288" i="4" s="1"/>
  <c r="Q284" i="16" l="1"/>
  <c r="S284" i="16"/>
  <c r="R284" i="16"/>
  <c r="N285" i="16"/>
  <c r="U285" i="16" s="1"/>
  <c r="O285" i="16"/>
  <c r="M286" i="16"/>
  <c r="P285" i="16"/>
  <c r="O290" i="4"/>
  <c r="Q290" i="4" s="1"/>
  <c r="P290" i="4"/>
  <c r="N290" i="4"/>
  <c r="U289" i="4" a="1"/>
  <c r="U289" i="4" s="1"/>
  <c r="R289" i="4" a="1"/>
  <c r="R289" i="4" s="1"/>
  <c r="S289" i="4" a="1"/>
  <c r="S289" i="4" s="1"/>
  <c r="M291" i="4"/>
  <c r="O286" i="16" l="1"/>
  <c r="N286" i="16"/>
  <c r="U286" i="16" s="1"/>
  <c r="S285" i="16"/>
  <c r="R285" i="16"/>
  <c r="Q285" i="16"/>
  <c r="M287" i="16"/>
  <c r="P286" i="16"/>
  <c r="P291" i="4"/>
  <c r="O291" i="4"/>
  <c r="Q291" i="4" s="1"/>
  <c r="N291" i="4"/>
  <c r="U290" i="4" a="1"/>
  <c r="U290" i="4" s="1"/>
  <c r="R290" i="4" a="1"/>
  <c r="R290" i="4" s="1"/>
  <c r="S290" i="4" a="1"/>
  <c r="S290" i="4" s="1"/>
  <c r="M292" i="4"/>
  <c r="N287" i="16" l="1"/>
  <c r="U287" i="16" s="1"/>
  <c r="O287" i="16"/>
  <c r="S286" i="16"/>
  <c r="R286" i="16"/>
  <c r="Q286" i="16"/>
  <c r="M288" i="16"/>
  <c r="P287" i="16"/>
  <c r="P292" i="4"/>
  <c r="N292" i="4"/>
  <c r="O292" i="4"/>
  <c r="Q292" i="4" s="1"/>
  <c r="U291" i="4" a="1"/>
  <c r="U291" i="4" s="1"/>
  <c r="S291" i="4" a="1"/>
  <c r="S291" i="4" s="1"/>
  <c r="R291" i="4" a="1"/>
  <c r="R291" i="4" s="1"/>
  <c r="M293" i="4"/>
  <c r="O288" i="16" l="1"/>
  <c r="N288" i="16"/>
  <c r="U288" i="16" s="1"/>
  <c r="Q287" i="16"/>
  <c r="S287" i="16"/>
  <c r="R287" i="16"/>
  <c r="M289" i="16"/>
  <c r="P288" i="16"/>
  <c r="P293" i="4"/>
  <c r="O293" i="4"/>
  <c r="Q293" i="4" s="1"/>
  <c r="N293" i="4"/>
  <c r="R292" i="4" a="1"/>
  <c r="R292" i="4" s="1"/>
  <c r="S292" i="4" a="1"/>
  <c r="S292" i="4" s="1"/>
  <c r="M294" i="4"/>
  <c r="U292" i="4" a="1"/>
  <c r="U292" i="4" s="1"/>
  <c r="R288" i="16" l="1"/>
  <c r="S288" i="16"/>
  <c r="Q288" i="16"/>
  <c r="O289" i="16"/>
  <c r="N289" i="16"/>
  <c r="U289" i="16" s="1"/>
  <c r="P289" i="16"/>
  <c r="M290" i="16"/>
  <c r="P294" i="4"/>
  <c r="O294" i="4"/>
  <c r="Q294" i="4" s="1"/>
  <c r="N294" i="4"/>
  <c r="M295" i="4"/>
  <c r="R293" i="4" a="1"/>
  <c r="R293" i="4" s="1"/>
  <c r="S293" i="4" a="1"/>
  <c r="S293" i="4" s="1"/>
  <c r="U293" i="4" a="1"/>
  <c r="U293" i="4" s="1"/>
  <c r="R289" i="16" l="1"/>
  <c r="Q289" i="16"/>
  <c r="S289" i="16"/>
  <c r="O290" i="16"/>
  <c r="N290" i="16"/>
  <c r="U290" i="16" s="1"/>
  <c r="P290" i="16"/>
  <c r="M291" i="16"/>
  <c r="P295" i="4"/>
  <c r="N295" i="4"/>
  <c r="O295" i="4"/>
  <c r="Q295" i="4" s="1"/>
  <c r="M296" i="4"/>
  <c r="R294" i="4" a="1"/>
  <c r="R294" i="4" s="1"/>
  <c r="S294" i="4" a="1"/>
  <c r="S294" i="4" s="1"/>
  <c r="U294" i="4" a="1"/>
  <c r="U294" i="4" s="1"/>
  <c r="N291" i="16" l="1"/>
  <c r="U291" i="16" s="1"/>
  <c r="O291" i="16"/>
  <c r="S290" i="16"/>
  <c r="R290" i="16"/>
  <c r="Q290" i="16"/>
  <c r="M292" i="16"/>
  <c r="P291" i="16"/>
  <c r="P296" i="4"/>
  <c r="O296" i="4"/>
  <c r="Q296" i="4" s="1"/>
  <c r="N296" i="4"/>
  <c r="M297" i="4"/>
  <c r="S295" i="4" a="1"/>
  <c r="S295" i="4" s="1"/>
  <c r="R295" i="4" a="1"/>
  <c r="R295" i="4" s="1"/>
  <c r="U295" i="4" a="1"/>
  <c r="U295" i="4" s="1"/>
  <c r="S291" i="16" l="1"/>
  <c r="R291" i="16"/>
  <c r="Q291" i="16"/>
  <c r="O292" i="16"/>
  <c r="N292" i="16"/>
  <c r="U292" i="16" s="1"/>
  <c r="M293" i="16"/>
  <c r="P292" i="16"/>
  <c r="P297" i="4"/>
  <c r="N297" i="4"/>
  <c r="O297" i="4"/>
  <c r="Q297" i="4" s="1"/>
  <c r="U296" i="4" a="1"/>
  <c r="U296" i="4" s="1"/>
  <c r="M298" i="4"/>
  <c r="R296" i="4" a="1"/>
  <c r="R296" i="4" s="1"/>
  <c r="S296" i="4" a="1"/>
  <c r="S296" i="4" s="1"/>
  <c r="N293" i="16" l="1"/>
  <c r="U293" i="16" s="1"/>
  <c r="O293" i="16"/>
  <c r="Q292" i="16"/>
  <c r="S292" i="16"/>
  <c r="R292" i="16"/>
  <c r="M294" i="16"/>
  <c r="P293" i="16"/>
  <c r="O298" i="4"/>
  <c r="Q298" i="4" s="1"/>
  <c r="P298" i="4"/>
  <c r="N298" i="4"/>
  <c r="R297" i="4" a="1"/>
  <c r="R297" i="4" s="1"/>
  <c r="S297" i="4" a="1"/>
  <c r="S297" i="4" s="1"/>
  <c r="M299" i="4"/>
  <c r="U297" i="4" a="1"/>
  <c r="U297" i="4" s="1"/>
  <c r="S293" i="16" l="1"/>
  <c r="R293" i="16"/>
  <c r="Q293" i="16"/>
  <c r="O294" i="16"/>
  <c r="N294" i="16"/>
  <c r="U294" i="16" s="1"/>
  <c r="M295" i="16"/>
  <c r="P294" i="16"/>
  <c r="O299" i="4"/>
  <c r="Q299" i="4" s="1"/>
  <c r="N299" i="4"/>
  <c r="P299" i="4"/>
  <c r="U298" i="4" a="1"/>
  <c r="U298" i="4" s="1"/>
  <c r="R298" i="4" a="1"/>
  <c r="R298" i="4" s="1"/>
  <c r="S298" i="4" a="1"/>
  <c r="S298" i="4" s="1"/>
  <c r="M300" i="4"/>
  <c r="R294" i="16" l="1"/>
  <c r="Q294" i="16"/>
  <c r="S294" i="16"/>
  <c r="O295" i="16"/>
  <c r="N295" i="16"/>
  <c r="U295" i="16" s="1"/>
  <c r="M296" i="16"/>
  <c r="P295" i="16"/>
  <c r="P300" i="4"/>
  <c r="O300" i="4"/>
  <c r="Q300" i="4" s="1"/>
  <c r="N300" i="4"/>
  <c r="U299" i="4" a="1"/>
  <c r="U299" i="4" s="1"/>
  <c r="R299" i="4" a="1"/>
  <c r="R299" i="4" s="1"/>
  <c r="S299" i="4" a="1"/>
  <c r="S299" i="4" s="1"/>
  <c r="M301" i="4"/>
  <c r="R295" i="16" l="1"/>
  <c r="S295" i="16"/>
  <c r="Q295" i="16"/>
  <c r="O296" i="16"/>
  <c r="N296" i="16"/>
  <c r="U296" i="16" s="1"/>
  <c r="M297" i="16"/>
  <c r="P296" i="16"/>
  <c r="P301" i="4"/>
  <c r="O301" i="4"/>
  <c r="Q301" i="4" s="1"/>
  <c r="N301" i="4"/>
  <c r="S300" i="4" a="1"/>
  <c r="S300" i="4" s="1"/>
  <c r="R300" i="4" a="1"/>
  <c r="R300" i="4" s="1"/>
  <c r="M302" i="4"/>
  <c r="U300" i="4" a="1"/>
  <c r="U300" i="4" s="1"/>
  <c r="R296" i="16" l="1"/>
  <c r="Q296" i="16"/>
  <c r="S296" i="16"/>
  <c r="O297" i="16"/>
  <c r="N297" i="16"/>
  <c r="U297" i="16" s="1"/>
  <c r="P297" i="16"/>
  <c r="M298" i="16"/>
  <c r="O302" i="4"/>
  <c r="Q302" i="4" s="1"/>
  <c r="P302" i="4"/>
  <c r="N302" i="4"/>
  <c r="R301" i="4" a="1"/>
  <c r="R301" i="4" s="1"/>
  <c r="S301" i="4" a="1"/>
  <c r="S301" i="4" s="1"/>
  <c r="U301" i="4" a="1"/>
  <c r="U301" i="4" s="1"/>
  <c r="M303" i="4"/>
  <c r="N298" i="16" l="1"/>
  <c r="U298" i="16" s="1"/>
  <c r="O298" i="16"/>
  <c r="R297" i="16"/>
  <c r="S297" i="16"/>
  <c r="Q297" i="16"/>
  <c r="P298" i="16"/>
  <c r="M299" i="16"/>
  <c r="P303" i="4"/>
  <c r="O303" i="4"/>
  <c r="Q303" i="4" s="1"/>
  <c r="N303" i="4"/>
  <c r="U302" i="4" a="1"/>
  <c r="U302" i="4" s="1"/>
  <c r="S302" i="4" a="1"/>
  <c r="S302" i="4" s="1"/>
  <c r="R302" i="4" a="1"/>
  <c r="R302" i="4" s="1"/>
  <c r="M304" i="4"/>
  <c r="O299" i="16" l="1"/>
  <c r="N299" i="16"/>
  <c r="U299" i="16" s="1"/>
  <c r="S298" i="16"/>
  <c r="Q298" i="16"/>
  <c r="R298" i="16"/>
  <c r="P299" i="16"/>
  <c r="M300" i="16"/>
  <c r="P304" i="4"/>
  <c r="N304" i="4"/>
  <c r="O304" i="4"/>
  <c r="Q304" i="4" s="1"/>
  <c r="M305" i="4"/>
  <c r="U303" i="4" a="1"/>
  <c r="U303" i="4" s="1"/>
  <c r="S303" i="4" a="1"/>
  <c r="S303" i="4" s="1"/>
  <c r="R303" i="4" a="1"/>
  <c r="R303" i="4" s="1"/>
  <c r="O300" i="16" l="1"/>
  <c r="N300" i="16"/>
  <c r="U300" i="16" s="1"/>
  <c r="R299" i="16"/>
  <c r="Q299" i="16"/>
  <c r="S299" i="16"/>
  <c r="P300" i="16"/>
  <c r="M301" i="16"/>
  <c r="P305" i="4"/>
  <c r="N305" i="4"/>
  <c r="O305" i="4"/>
  <c r="Q305" i="4" s="1"/>
  <c r="M306" i="4"/>
  <c r="U304" i="4" a="1"/>
  <c r="U304" i="4" s="1"/>
  <c r="S304" i="4" a="1"/>
  <c r="S304" i="4" s="1"/>
  <c r="R304" i="4" a="1"/>
  <c r="R304" i="4" s="1"/>
  <c r="O301" i="16" l="1"/>
  <c r="N301" i="16"/>
  <c r="U301" i="16" s="1"/>
  <c r="S300" i="16"/>
  <c r="R300" i="16"/>
  <c r="Q300" i="16"/>
  <c r="M302" i="16"/>
  <c r="P301" i="16"/>
  <c r="O306" i="4"/>
  <c r="Q306" i="4" s="1"/>
  <c r="P306" i="4"/>
  <c r="N306" i="4"/>
  <c r="U305" i="4" a="1"/>
  <c r="U305" i="4" s="1"/>
  <c r="R305" i="4" a="1"/>
  <c r="R305" i="4" s="1"/>
  <c r="S305" i="4" a="1"/>
  <c r="S305" i="4" s="1"/>
  <c r="M307" i="4"/>
  <c r="N302" i="16" l="1"/>
  <c r="U302" i="16" s="1"/>
  <c r="O302" i="16"/>
  <c r="S301" i="16"/>
  <c r="R301" i="16"/>
  <c r="Q301" i="16"/>
  <c r="P302" i="16"/>
  <c r="M303" i="16"/>
  <c r="N307" i="4"/>
  <c r="P307" i="4"/>
  <c r="O307" i="4"/>
  <c r="Q307" i="4" s="1"/>
  <c r="U306" i="4" a="1"/>
  <c r="U306" i="4" s="1"/>
  <c r="S306" i="4" a="1"/>
  <c r="S306" i="4" s="1"/>
  <c r="R306" i="4" a="1"/>
  <c r="R306" i="4" s="1"/>
  <c r="M308" i="4"/>
  <c r="O303" i="16" l="1"/>
  <c r="N303" i="16"/>
  <c r="U303" i="16" s="1"/>
  <c r="S302" i="16"/>
  <c r="Q302" i="16"/>
  <c r="R302" i="16"/>
  <c r="M304" i="16"/>
  <c r="P303" i="16"/>
  <c r="O308" i="4"/>
  <c r="Q308" i="4" s="1"/>
  <c r="P308" i="4"/>
  <c r="N308" i="4"/>
  <c r="M309" i="4"/>
  <c r="U307" i="4" a="1"/>
  <c r="U307" i="4" s="1"/>
  <c r="S307" i="4" a="1"/>
  <c r="S307" i="4" s="1"/>
  <c r="R307" i="4" a="1"/>
  <c r="R307" i="4" s="1"/>
  <c r="O304" i="16" l="1"/>
  <c r="N304" i="16"/>
  <c r="U304" i="16" s="1"/>
  <c r="R303" i="16"/>
  <c r="S303" i="16"/>
  <c r="Q303" i="16"/>
  <c r="M305" i="16"/>
  <c r="P304" i="16"/>
  <c r="P309" i="4"/>
  <c r="N309" i="4"/>
  <c r="O309" i="4"/>
  <c r="Q309" i="4" s="1"/>
  <c r="U308" i="4" a="1"/>
  <c r="U308" i="4" s="1"/>
  <c r="M310" i="4"/>
  <c r="R308" i="4" a="1"/>
  <c r="R308" i="4" s="1"/>
  <c r="S308" i="4" a="1"/>
  <c r="S308" i="4" s="1"/>
  <c r="N305" i="16" l="1"/>
  <c r="U305" i="16" s="1"/>
  <c r="O305" i="16"/>
  <c r="S304" i="16"/>
  <c r="Q304" i="16"/>
  <c r="R304" i="16"/>
  <c r="P305" i="16"/>
  <c r="M306" i="16"/>
  <c r="O310" i="4"/>
  <c r="Q310" i="4" s="1"/>
  <c r="P310" i="4"/>
  <c r="N310" i="4"/>
  <c r="M311" i="4"/>
  <c r="S309" i="4" a="1"/>
  <c r="S309" i="4" s="1"/>
  <c r="R309" i="4" a="1"/>
  <c r="R309" i="4" s="1"/>
  <c r="U309" i="4" a="1"/>
  <c r="U309" i="4" s="1"/>
  <c r="O306" i="16" l="1"/>
  <c r="N306" i="16"/>
  <c r="U306" i="16" s="1"/>
  <c r="R305" i="16"/>
  <c r="S305" i="16"/>
  <c r="Q305" i="16"/>
  <c r="P306" i="16"/>
  <c r="M307" i="16"/>
  <c r="P311" i="4"/>
  <c r="N311" i="4"/>
  <c r="O311" i="4"/>
  <c r="Q311" i="4" s="1"/>
  <c r="U310" i="4" a="1"/>
  <c r="U310" i="4" s="1"/>
  <c r="R310" i="4" a="1"/>
  <c r="R310" i="4" s="1"/>
  <c r="S310" i="4" a="1"/>
  <c r="S310" i="4" s="1"/>
  <c r="M312" i="4"/>
  <c r="N307" i="16" l="1"/>
  <c r="U307" i="16" s="1"/>
  <c r="O307" i="16"/>
  <c r="S306" i="16"/>
  <c r="R306" i="16"/>
  <c r="Q306" i="16"/>
  <c r="P307" i="16"/>
  <c r="M308" i="16"/>
  <c r="P312" i="4"/>
  <c r="O312" i="4"/>
  <c r="Q312" i="4" s="1"/>
  <c r="N312" i="4"/>
  <c r="U311" i="4" a="1"/>
  <c r="U311" i="4" s="1"/>
  <c r="S311" i="4" a="1"/>
  <c r="S311" i="4" s="1"/>
  <c r="R311" i="4" a="1"/>
  <c r="R311" i="4" s="1"/>
  <c r="M313" i="4"/>
  <c r="N308" i="16" l="1"/>
  <c r="U308" i="16" s="1"/>
  <c r="O308" i="16"/>
  <c r="Q307" i="16"/>
  <c r="S307" i="16"/>
  <c r="R307" i="16"/>
  <c r="M309" i="16"/>
  <c r="P308" i="16"/>
  <c r="P313" i="4"/>
  <c r="N313" i="4"/>
  <c r="O313" i="4"/>
  <c r="Q313" i="4" s="1"/>
  <c r="M314" i="4"/>
  <c r="U312" i="4" a="1"/>
  <c r="U312" i="4" s="1"/>
  <c r="R312" i="4" a="1"/>
  <c r="R312" i="4" s="1"/>
  <c r="S312" i="4" a="1"/>
  <c r="S312" i="4" s="1"/>
  <c r="O309" i="16" l="1"/>
  <c r="N309" i="16"/>
  <c r="U309" i="16" s="1"/>
  <c r="Q308" i="16"/>
  <c r="S308" i="16"/>
  <c r="R308" i="16"/>
  <c r="M310" i="16"/>
  <c r="P309" i="16"/>
  <c r="O314" i="4"/>
  <c r="Q314" i="4" s="1"/>
  <c r="P314" i="4"/>
  <c r="N314" i="4"/>
  <c r="S313" i="4" a="1"/>
  <c r="S313" i="4" s="1"/>
  <c r="R313" i="4" a="1"/>
  <c r="R313" i="4" s="1"/>
  <c r="U313" i="4" a="1"/>
  <c r="U313" i="4" s="1"/>
  <c r="M315" i="4"/>
  <c r="N310" i="16" l="1"/>
  <c r="U310" i="16" s="1"/>
  <c r="O310" i="16"/>
  <c r="S309" i="16"/>
  <c r="R309" i="16"/>
  <c r="Q309" i="16"/>
  <c r="P310" i="16"/>
  <c r="M311" i="16"/>
  <c r="O315" i="4"/>
  <c r="Q315" i="4" s="1"/>
  <c r="P315" i="4"/>
  <c r="N315" i="4"/>
  <c r="S314" i="4" a="1"/>
  <c r="S314" i="4" s="1"/>
  <c r="R314" i="4" a="1"/>
  <c r="R314" i="4" s="1"/>
  <c r="U314" i="4" a="1"/>
  <c r="U314" i="4" s="1"/>
  <c r="M316" i="4"/>
  <c r="O311" i="16" l="1"/>
  <c r="N311" i="16"/>
  <c r="U311" i="16" s="1"/>
  <c r="R310" i="16"/>
  <c r="Q310" i="16"/>
  <c r="S310" i="16"/>
  <c r="M312" i="16"/>
  <c r="P311" i="16"/>
  <c r="O316" i="4"/>
  <c r="Q316" i="4" s="1"/>
  <c r="P316" i="4"/>
  <c r="N316" i="4"/>
  <c r="R315" i="4" a="1"/>
  <c r="R315" i="4" s="1"/>
  <c r="S315" i="4" a="1"/>
  <c r="S315" i="4" s="1"/>
  <c r="M317" i="4"/>
  <c r="U315" i="4" a="1"/>
  <c r="U315" i="4" s="1"/>
  <c r="O312" i="16" l="1"/>
  <c r="N312" i="16"/>
  <c r="U312" i="16" s="1"/>
  <c r="Q311" i="16"/>
  <c r="R311" i="16"/>
  <c r="S311" i="16"/>
  <c r="M313" i="16"/>
  <c r="P312" i="16"/>
  <c r="C27" i="16"/>
  <c r="P317" i="4"/>
  <c r="N317" i="4"/>
  <c r="O317" i="4"/>
  <c r="Q317" i="4" s="1"/>
  <c r="U316" i="4" a="1"/>
  <c r="U316" i="4" s="1"/>
  <c r="S316" i="4" a="1"/>
  <c r="S316" i="4" s="1"/>
  <c r="R316" i="4" a="1"/>
  <c r="R316" i="4" s="1"/>
  <c r="M318" i="4"/>
  <c r="O313" i="16" l="1"/>
  <c r="N313" i="16"/>
  <c r="U313" i="16" s="1"/>
  <c r="Q312" i="16"/>
  <c r="S312" i="16"/>
  <c r="R312" i="16"/>
  <c r="M314" i="16"/>
  <c r="P313" i="16"/>
  <c r="O318" i="4"/>
  <c r="Q318" i="4" s="1"/>
  <c r="P318" i="4"/>
  <c r="N318" i="4"/>
  <c r="C27" i="4" s="1"/>
  <c r="U317" i="4" a="1"/>
  <c r="U317" i="4" s="1"/>
  <c r="R317" i="4" a="1"/>
  <c r="R317" i="4" s="1"/>
  <c r="S317" i="4" a="1"/>
  <c r="S317" i="4" s="1"/>
  <c r="O314" i="16" l="1"/>
  <c r="N314" i="16"/>
  <c r="U314" i="16" s="1"/>
  <c r="Q313" i="16"/>
  <c r="R313" i="16"/>
  <c r="S313" i="16"/>
  <c r="P314" i="16"/>
  <c r="M315" i="16"/>
  <c r="U318" i="4" a="1"/>
  <c r="U318" i="4" s="1"/>
  <c r="R318" i="4" a="1"/>
  <c r="R318" i="4" s="1"/>
  <c r="S318" i="4" a="1"/>
  <c r="S318" i="4" s="1"/>
  <c r="S314" i="16" l="1"/>
  <c r="R314" i="16"/>
  <c r="Q314" i="16"/>
  <c r="O315" i="16"/>
  <c r="N315" i="16"/>
  <c r="U315" i="16" s="1"/>
  <c r="P315" i="16"/>
  <c r="M316" i="16"/>
  <c r="O316" i="16" l="1"/>
  <c r="N316" i="16"/>
  <c r="U316" i="16" s="1"/>
  <c r="S315" i="16"/>
  <c r="R315" i="16"/>
  <c r="Q315" i="16"/>
  <c r="M317" i="16"/>
  <c r="P316" i="16"/>
  <c r="M319" i="4"/>
  <c r="O317" i="16" l="1"/>
  <c r="N317" i="16"/>
  <c r="U317" i="16" s="1"/>
  <c r="S316" i="16"/>
  <c r="Q316" i="16"/>
  <c r="R316" i="16"/>
  <c r="M318" i="16"/>
  <c r="P317" i="16"/>
  <c r="O319" i="4"/>
  <c r="Q319" i="4" s="1"/>
  <c r="P319" i="4"/>
  <c r="N319" i="4"/>
  <c r="M320" i="4"/>
  <c r="O318" i="16" l="1"/>
  <c r="N318" i="16"/>
  <c r="U318" i="16" s="1"/>
  <c r="S317" i="16"/>
  <c r="R317" i="16"/>
  <c r="Q317" i="16"/>
  <c r="P318" i="16"/>
  <c r="M319" i="16"/>
  <c r="N320" i="4"/>
  <c r="O320" i="4"/>
  <c r="Q320" i="4" s="1"/>
  <c r="P320" i="4"/>
  <c r="M321" i="4"/>
  <c r="S318" i="16" l="1"/>
  <c r="R318" i="16"/>
  <c r="Q318" i="16"/>
  <c r="O319" i="16"/>
  <c r="N319" i="16"/>
  <c r="U319" i="16" s="1"/>
  <c r="M320" i="16"/>
  <c r="P319" i="16"/>
  <c r="O321" i="4"/>
  <c r="Q321" i="4" s="1"/>
  <c r="P321" i="4"/>
  <c r="N321" i="4"/>
  <c r="M322" i="4"/>
  <c r="S319" i="16" l="1"/>
  <c r="R319" i="16"/>
  <c r="Q319" i="16"/>
  <c r="O320" i="16"/>
  <c r="N320" i="16"/>
  <c r="U320" i="16" s="1"/>
  <c r="M321" i="16"/>
  <c r="P320" i="16"/>
  <c r="N322" i="4"/>
  <c r="O322" i="4"/>
  <c r="Q322" i="4" s="1"/>
  <c r="P322" i="4"/>
  <c r="M323" i="4"/>
  <c r="N321" i="16" l="1"/>
  <c r="U321" i="16" s="1"/>
  <c r="O321" i="16"/>
  <c r="S320" i="16"/>
  <c r="Q320" i="16"/>
  <c r="R320" i="16"/>
  <c r="M322" i="16"/>
  <c r="P321" i="16"/>
  <c r="P323" i="4"/>
  <c r="N323" i="4"/>
  <c r="O323" i="4"/>
  <c r="Q323" i="4" s="1"/>
  <c r="M324" i="4"/>
  <c r="O322" i="16" l="1"/>
  <c r="N322" i="16"/>
  <c r="U322" i="16" s="1"/>
  <c r="R321" i="16"/>
  <c r="S321" i="16"/>
  <c r="Q321" i="16"/>
  <c r="P322" i="16"/>
  <c r="M323" i="16"/>
  <c r="O324" i="4"/>
  <c r="Q324" i="4" s="1"/>
  <c r="P324" i="4"/>
  <c r="N324" i="4"/>
  <c r="M325" i="4"/>
  <c r="N323" i="16" l="1"/>
  <c r="U323" i="16" s="1"/>
  <c r="O323" i="16"/>
  <c r="S322" i="16"/>
  <c r="R322" i="16"/>
  <c r="Q322" i="16"/>
  <c r="P323" i="16"/>
  <c r="M324" i="16"/>
  <c r="O325" i="4"/>
  <c r="Q325" i="4" s="1"/>
  <c r="P325" i="4"/>
  <c r="N325" i="4"/>
  <c r="M326" i="4"/>
  <c r="O324" i="16" l="1"/>
  <c r="N324" i="16"/>
  <c r="U324" i="16" s="1"/>
  <c r="R323" i="16"/>
  <c r="Q323" i="16"/>
  <c r="S323" i="16"/>
  <c r="M325" i="16"/>
  <c r="P324" i="16"/>
  <c r="O326" i="4"/>
  <c r="Q326" i="4" s="1"/>
  <c r="P326" i="4"/>
  <c r="N326" i="4"/>
  <c r="M327" i="4"/>
  <c r="O325" i="16" l="1"/>
  <c r="N325" i="16"/>
  <c r="U325" i="16" s="1"/>
  <c r="R324" i="16"/>
  <c r="Q324" i="16"/>
  <c r="S324" i="16"/>
  <c r="M326" i="16"/>
  <c r="P325" i="16"/>
  <c r="O327" i="4"/>
  <c r="Q327" i="4" s="1"/>
  <c r="P327" i="4"/>
  <c r="N327" i="4"/>
  <c r="M328" i="4"/>
  <c r="O326" i="16" l="1"/>
  <c r="N326" i="16"/>
  <c r="U326" i="16" s="1"/>
  <c r="S325" i="16"/>
  <c r="R325" i="16"/>
  <c r="Q325" i="16"/>
  <c r="P326" i="16"/>
  <c r="M327" i="16"/>
  <c r="P328" i="4"/>
  <c r="O328" i="4"/>
  <c r="Q328" i="4" s="1"/>
  <c r="N328" i="4"/>
  <c r="M329" i="4"/>
  <c r="O327" i="16" l="1"/>
  <c r="N327" i="16"/>
  <c r="U327" i="16" s="1"/>
  <c r="R326" i="16"/>
  <c r="Q326" i="16"/>
  <c r="S326" i="16"/>
  <c r="M328" i="16"/>
  <c r="P327" i="16"/>
  <c r="O329" i="4"/>
  <c r="Q329" i="4" s="1"/>
  <c r="P329" i="4"/>
  <c r="N329" i="4"/>
  <c r="M330" i="4"/>
  <c r="Q327" i="16" l="1"/>
  <c r="S327" i="16"/>
  <c r="R327" i="16"/>
  <c r="O328" i="16"/>
  <c r="N328" i="16"/>
  <c r="U328" i="16" s="1"/>
  <c r="M329" i="16"/>
  <c r="P328" i="16"/>
  <c r="P330" i="4"/>
  <c r="O330" i="4"/>
  <c r="Q330" i="4" s="1"/>
  <c r="N330" i="4"/>
  <c r="M331" i="4"/>
  <c r="R328" i="16" l="1"/>
  <c r="Q328" i="16"/>
  <c r="S328" i="16"/>
  <c r="N329" i="16"/>
  <c r="U329" i="16" s="1"/>
  <c r="O329" i="16"/>
  <c r="M330" i="16"/>
  <c r="P329" i="16"/>
  <c r="P331" i="4"/>
  <c r="O331" i="4"/>
  <c r="Q331" i="4" s="1"/>
  <c r="N331" i="4"/>
  <c r="M332" i="4"/>
  <c r="R329" i="16" l="1"/>
  <c r="S329" i="16"/>
  <c r="Q329" i="16"/>
  <c r="N330" i="16"/>
  <c r="U330" i="16" s="1"/>
  <c r="O330" i="16"/>
  <c r="P330" i="16"/>
  <c r="M331" i="16"/>
  <c r="O332" i="4"/>
  <c r="Q332" i="4" s="1"/>
  <c r="P332" i="4"/>
  <c r="N332" i="4"/>
  <c r="M333" i="4"/>
  <c r="O331" i="16" l="1"/>
  <c r="N331" i="16"/>
  <c r="S330" i="16"/>
  <c r="R330" i="16"/>
  <c r="Q330" i="16"/>
  <c r="P331" i="16"/>
  <c r="T327" i="16"/>
  <c r="N333" i="4"/>
  <c r="P333" i="4"/>
  <c r="O333" i="4"/>
  <c r="Q333" i="4" s="1"/>
  <c r="M334" i="4"/>
  <c r="T80" i="16" l="1"/>
  <c r="T79" i="16"/>
  <c r="T81" i="16"/>
  <c r="T82" i="16"/>
  <c r="T84" i="16"/>
  <c r="T83" i="16"/>
  <c r="T85" i="16"/>
  <c r="T89" i="16"/>
  <c r="T88" i="16"/>
  <c r="T86" i="16"/>
  <c r="T90" i="16"/>
  <c r="T87" i="16"/>
  <c r="T92" i="16"/>
  <c r="T91" i="16"/>
  <c r="T93" i="16"/>
  <c r="T95" i="16"/>
  <c r="T94" i="16"/>
  <c r="T96" i="16"/>
  <c r="T99" i="16"/>
  <c r="T97" i="16"/>
  <c r="T98" i="16"/>
  <c r="T100" i="16"/>
  <c r="T102" i="16"/>
  <c r="T101" i="16"/>
  <c r="T103" i="16"/>
  <c r="T105" i="16"/>
  <c r="T104" i="16"/>
  <c r="T107" i="16"/>
  <c r="T106" i="16"/>
  <c r="T108" i="16"/>
  <c r="T109" i="16"/>
  <c r="T111" i="16"/>
  <c r="T110" i="16"/>
  <c r="T112" i="16"/>
  <c r="T113" i="16"/>
  <c r="T114" i="16"/>
  <c r="T116" i="16"/>
  <c r="T115" i="16"/>
  <c r="T117" i="16"/>
  <c r="T118" i="16"/>
  <c r="T119" i="16"/>
  <c r="T121" i="16"/>
  <c r="T120" i="16"/>
  <c r="T122" i="16"/>
  <c r="T124" i="16"/>
  <c r="T123" i="16"/>
  <c r="T126" i="16"/>
  <c r="T125" i="16"/>
  <c r="T127" i="16"/>
  <c r="T128" i="16"/>
  <c r="T129" i="16"/>
  <c r="T131" i="16"/>
  <c r="T130" i="16"/>
  <c r="T133" i="16"/>
  <c r="T132" i="16"/>
  <c r="T134" i="16"/>
  <c r="T135" i="16"/>
  <c r="T136" i="16"/>
  <c r="T137" i="16"/>
  <c r="T138" i="16"/>
  <c r="T140" i="16"/>
  <c r="T139" i="16"/>
  <c r="T142" i="16"/>
  <c r="T143" i="16"/>
  <c r="T141" i="16"/>
  <c r="T144" i="16"/>
  <c r="T146" i="16"/>
  <c r="T145" i="16"/>
  <c r="T147" i="16"/>
  <c r="T148" i="16"/>
  <c r="T149" i="16"/>
  <c r="T150" i="16"/>
  <c r="T153" i="16"/>
  <c r="T151" i="16"/>
  <c r="T154" i="16"/>
  <c r="T155" i="16"/>
  <c r="T152" i="16"/>
  <c r="T156" i="16"/>
  <c r="T157" i="16"/>
  <c r="U331" i="16"/>
  <c r="T9" i="16"/>
  <c r="S331" i="16"/>
  <c r="R331" i="16"/>
  <c r="Q331" i="16"/>
  <c r="T328" i="16"/>
  <c r="T330" i="16"/>
  <c r="T331" i="16"/>
  <c r="T11" i="16"/>
  <c r="B63" i="16"/>
  <c r="T10" i="16"/>
  <c r="B57" i="16"/>
  <c r="T12" i="16"/>
  <c r="T16" i="16"/>
  <c r="T14" i="16"/>
  <c r="T15" i="16"/>
  <c r="T17" i="16"/>
  <c r="T20" i="16"/>
  <c r="T21" i="16"/>
  <c r="T19" i="16"/>
  <c r="T22" i="16"/>
  <c r="T23" i="16"/>
  <c r="T24" i="16"/>
  <c r="T25" i="16"/>
  <c r="T26" i="16"/>
  <c r="T27" i="16"/>
  <c r="T28" i="16"/>
  <c r="T30" i="16"/>
  <c r="T29" i="16"/>
  <c r="T31" i="16"/>
  <c r="T32" i="16"/>
  <c r="T33" i="16"/>
  <c r="T34" i="16"/>
  <c r="T35" i="16"/>
  <c r="T36" i="16"/>
  <c r="T37" i="16"/>
  <c r="T38" i="16"/>
  <c r="T39" i="16"/>
  <c r="T40" i="16"/>
  <c r="T41" i="16"/>
  <c r="T43" i="16"/>
  <c r="T42" i="16"/>
  <c r="T45" i="16"/>
  <c r="T44" i="16"/>
  <c r="T47" i="16"/>
  <c r="T46" i="16"/>
  <c r="T48" i="16"/>
  <c r="T49" i="16"/>
  <c r="T50" i="16"/>
  <c r="T51" i="16"/>
  <c r="T52" i="16"/>
  <c r="T53" i="16"/>
  <c r="T54" i="16"/>
  <c r="T55" i="16"/>
  <c r="T56" i="16"/>
  <c r="T57" i="16"/>
  <c r="T59" i="16"/>
  <c r="T58" i="16"/>
  <c r="T60" i="16"/>
  <c r="T61" i="16"/>
  <c r="T62" i="16"/>
  <c r="T63" i="16"/>
  <c r="T65" i="16"/>
  <c r="T64" i="16"/>
  <c r="T66" i="16"/>
  <c r="T67" i="16"/>
  <c r="T68" i="16"/>
  <c r="T69" i="16"/>
  <c r="T70" i="16"/>
  <c r="T71" i="16"/>
  <c r="T72" i="16"/>
  <c r="T73" i="16"/>
  <c r="T75" i="16"/>
  <c r="T74" i="16"/>
  <c r="T76" i="16"/>
  <c r="T77" i="16"/>
  <c r="T78" i="16"/>
  <c r="T158" i="16"/>
  <c r="T159" i="16"/>
  <c r="T161" i="16"/>
  <c r="T160" i="16"/>
  <c r="T163" i="16"/>
  <c r="T162" i="16"/>
  <c r="T164" i="16"/>
  <c r="T166" i="16"/>
  <c r="T165" i="16"/>
  <c r="T168" i="16"/>
  <c r="T167" i="16"/>
  <c r="T169" i="16"/>
  <c r="T171" i="16"/>
  <c r="T172" i="16"/>
  <c r="T170" i="16"/>
  <c r="T174" i="16"/>
  <c r="T173" i="16"/>
  <c r="T176" i="16"/>
  <c r="T175" i="16"/>
  <c r="T177" i="16"/>
  <c r="T178" i="16"/>
  <c r="T179" i="16"/>
  <c r="T180" i="16"/>
  <c r="T181" i="16"/>
  <c r="T182" i="16"/>
  <c r="T183" i="16"/>
  <c r="T184" i="16"/>
  <c r="T185" i="16"/>
  <c r="T187" i="16"/>
  <c r="T188" i="16"/>
  <c r="T186" i="16"/>
  <c r="T189" i="16"/>
  <c r="T190" i="16"/>
  <c r="T191" i="16"/>
  <c r="T192" i="16"/>
  <c r="T193" i="16"/>
  <c r="T194" i="16"/>
  <c r="T195" i="16"/>
  <c r="T198" i="16"/>
  <c r="T196" i="16"/>
  <c r="T197" i="16"/>
  <c r="T199" i="16"/>
  <c r="T200" i="16"/>
  <c r="T201" i="16"/>
  <c r="T202" i="16"/>
  <c r="T203" i="16"/>
  <c r="T204" i="16"/>
  <c r="T206" i="16"/>
  <c r="T205" i="16"/>
  <c r="T208" i="16"/>
  <c r="T207" i="16"/>
  <c r="T210" i="16"/>
  <c r="T209" i="16"/>
  <c r="T211" i="16"/>
  <c r="T212" i="16"/>
  <c r="T215" i="16"/>
  <c r="T213" i="16"/>
  <c r="T216" i="16"/>
  <c r="T214" i="16"/>
  <c r="T217" i="16"/>
  <c r="T218" i="16"/>
  <c r="T219" i="16"/>
  <c r="T220" i="16"/>
  <c r="T221" i="16"/>
  <c r="T222" i="16"/>
  <c r="T223" i="16"/>
  <c r="T224" i="16"/>
  <c r="T225" i="16"/>
  <c r="T226" i="16"/>
  <c r="T228" i="16"/>
  <c r="T227" i="16"/>
  <c r="T230" i="16"/>
  <c r="T229" i="16"/>
  <c r="T231" i="16"/>
  <c r="T232" i="16"/>
  <c r="T233" i="16"/>
  <c r="T235" i="16"/>
  <c r="T234" i="16"/>
  <c r="T236" i="16"/>
  <c r="T237" i="16"/>
  <c r="T239" i="16"/>
  <c r="T238" i="16"/>
  <c r="T240" i="16"/>
  <c r="T241" i="16"/>
  <c r="T243" i="16"/>
  <c r="T242" i="16"/>
  <c r="T244" i="16"/>
  <c r="T245" i="16"/>
  <c r="T246" i="16"/>
  <c r="T247" i="16"/>
  <c r="T248" i="16"/>
  <c r="T249" i="16"/>
  <c r="T250" i="16"/>
  <c r="T251" i="16"/>
  <c r="T252" i="16"/>
  <c r="T253" i="16"/>
  <c r="T254" i="16"/>
  <c r="T255" i="16"/>
  <c r="T257" i="16"/>
  <c r="T256" i="16"/>
  <c r="T259" i="16"/>
  <c r="T260" i="16"/>
  <c r="T258" i="16"/>
  <c r="T262" i="16"/>
  <c r="T261" i="16"/>
  <c r="T263" i="16"/>
  <c r="T265" i="16"/>
  <c r="T264" i="16"/>
  <c r="T267" i="16"/>
  <c r="T268" i="16"/>
  <c r="T269" i="16"/>
  <c r="T266" i="16"/>
  <c r="T271" i="16"/>
  <c r="T270" i="16"/>
  <c r="T272" i="16"/>
  <c r="T274" i="16"/>
  <c r="T275" i="16"/>
  <c r="T273" i="16"/>
  <c r="T277" i="16"/>
  <c r="T278" i="16"/>
  <c r="T276" i="16"/>
  <c r="T279" i="16"/>
  <c r="T280" i="16"/>
  <c r="T281" i="16"/>
  <c r="T282" i="16"/>
  <c r="T283" i="16"/>
  <c r="T285" i="16"/>
  <c r="T284" i="16"/>
  <c r="T287" i="16"/>
  <c r="T286" i="16"/>
  <c r="T288" i="16"/>
  <c r="T290" i="16"/>
  <c r="T289" i="16"/>
  <c r="T291" i="16"/>
  <c r="T293" i="16"/>
  <c r="T292" i="16"/>
  <c r="T295" i="16"/>
  <c r="T294" i="16"/>
  <c r="T296" i="16"/>
  <c r="T297" i="16"/>
  <c r="T298" i="16"/>
  <c r="T299" i="16"/>
  <c r="T301" i="16"/>
  <c r="T302" i="16"/>
  <c r="T300" i="16"/>
  <c r="T303" i="16"/>
  <c r="T305" i="16"/>
  <c r="T304" i="16"/>
  <c r="T306" i="16"/>
  <c r="T307" i="16"/>
  <c r="T309" i="16"/>
  <c r="T310" i="16"/>
  <c r="T308" i="16"/>
  <c r="T311" i="16"/>
  <c r="T312" i="16"/>
  <c r="T313" i="16"/>
  <c r="T314" i="16"/>
  <c r="T315" i="16"/>
  <c r="T316" i="16"/>
  <c r="T317" i="16"/>
  <c r="T318" i="16"/>
  <c r="T319" i="16"/>
  <c r="T321" i="16"/>
  <c r="T320" i="16"/>
  <c r="T322" i="16"/>
  <c r="T324" i="16"/>
  <c r="T323" i="16"/>
  <c r="T326" i="16"/>
  <c r="T325" i="16"/>
  <c r="T329" i="16"/>
  <c r="O334" i="4"/>
  <c r="Q334" i="4" s="1"/>
  <c r="N334" i="4"/>
  <c r="P334" i="4"/>
  <c r="M335" i="4"/>
  <c r="V9" i="16" l="1"/>
  <c r="V101" i="16"/>
  <c r="V130" i="16"/>
  <c r="V96" i="16"/>
  <c r="V97" i="16"/>
  <c r="V98" i="16"/>
  <c r="V147" i="16"/>
  <c r="V93" i="16"/>
  <c r="V122" i="16"/>
  <c r="V121" i="16"/>
  <c r="V119" i="16"/>
  <c r="V152" i="16"/>
  <c r="V94" i="16"/>
  <c r="V153" i="16"/>
  <c r="V134" i="16"/>
  <c r="V142" i="16"/>
  <c r="V124" i="16"/>
  <c r="V109" i="16"/>
  <c r="V144" i="16"/>
  <c r="V156" i="16"/>
  <c r="V86" i="16"/>
  <c r="V102" i="16"/>
  <c r="V125" i="16"/>
  <c r="V139" i="16"/>
  <c r="V146" i="16"/>
  <c r="V118" i="16"/>
  <c r="V151" i="16"/>
  <c r="V95" i="16"/>
  <c r="V128" i="16"/>
  <c r="V90" i="16"/>
  <c r="V115" i="16"/>
  <c r="V81" i="16"/>
  <c r="V136" i="16"/>
  <c r="V157" i="16"/>
  <c r="V104" i="16"/>
  <c r="V99" i="16"/>
  <c r="V131" i="16"/>
  <c r="V120" i="16"/>
  <c r="V117" i="16"/>
  <c r="V126" i="16"/>
  <c r="V138" i="16"/>
  <c r="V92" i="16"/>
  <c r="V145" i="16"/>
  <c r="V88" i="16"/>
  <c r="V154" i="16"/>
  <c r="V149" i="16"/>
  <c r="V91" i="16"/>
  <c r="V123" i="16"/>
  <c r="V85" i="16"/>
  <c r="V143" i="16"/>
  <c r="V133" i="16"/>
  <c r="V127" i="16"/>
  <c r="V141" i="16"/>
  <c r="V103" i="16"/>
  <c r="V150" i="16"/>
  <c r="V100" i="16"/>
  <c r="V106" i="16"/>
  <c r="V82" i="16"/>
  <c r="V80" i="16"/>
  <c r="V148" i="16"/>
  <c r="V113" i="16"/>
  <c r="V135" i="16"/>
  <c r="V140" i="16"/>
  <c r="V116" i="16"/>
  <c r="V79" i="16"/>
  <c r="V129" i="16"/>
  <c r="V155" i="16"/>
  <c r="V105" i="16"/>
  <c r="V108" i="16"/>
  <c r="V112" i="16"/>
  <c r="V89" i="16"/>
  <c r="V107" i="16"/>
  <c r="V132" i="16"/>
  <c r="V83" i="16"/>
  <c r="V84" i="16"/>
  <c r="V110" i="16"/>
  <c r="V111" i="16"/>
  <c r="V87" i="16"/>
  <c r="V137" i="16"/>
  <c r="V114" i="16"/>
  <c r="V317" i="16"/>
  <c r="V321" i="16"/>
  <c r="V330" i="16"/>
  <c r="V298" i="16"/>
  <c r="V301" i="16"/>
  <c r="V195" i="16"/>
  <c r="V270" i="16"/>
  <c r="V261" i="16"/>
  <c r="V28" i="16"/>
  <c r="V73" i="16"/>
  <c r="V256" i="16"/>
  <c r="V286" i="16"/>
  <c r="V312" i="16"/>
  <c r="V44" i="16"/>
  <c r="V196" i="16"/>
  <c r="V302" i="16"/>
  <c r="V296" i="16"/>
  <c r="V193" i="16"/>
  <c r="V227" i="16"/>
  <c r="V271" i="16"/>
  <c r="V199" i="16"/>
  <c r="V201" i="16"/>
  <c r="V45" i="16"/>
  <c r="V236" i="16"/>
  <c r="V179" i="16"/>
  <c r="V242" i="16"/>
  <c r="V231" i="16"/>
  <c r="V12" i="16"/>
  <c r="V217" i="16"/>
  <c r="V13" i="16"/>
  <c r="V306" i="16"/>
  <c r="V316" i="16"/>
  <c r="V53" i="16"/>
  <c r="V278" i="16"/>
  <c r="V164" i="16"/>
  <c r="V305" i="16"/>
  <c r="V34" i="16"/>
  <c r="V42" i="16"/>
  <c r="V188" i="16"/>
  <c r="V177" i="16"/>
  <c r="V52" i="16"/>
  <c r="V182" i="16"/>
  <c r="V275" i="16"/>
  <c r="V228" i="16"/>
  <c r="V244" i="16"/>
  <c r="V250" i="16"/>
  <c r="V253" i="16"/>
  <c r="V26" i="16"/>
  <c r="V207" i="16"/>
  <c r="V160" i="16"/>
  <c r="V181" i="16"/>
  <c r="V293" i="16"/>
  <c r="V49" i="16"/>
  <c r="V24" i="16"/>
  <c r="V59" i="16"/>
  <c r="V281" i="16"/>
  <c r="V61" i="16"/>
  <c r="V243" i="16"/>
  <c r="V304" i="16"/>
  <c r="V216" i="16"/>
  <c r="V213" i="16"/>
  <c r="V71" i="16"/>
  <c r="V214" i="16"/>
  <c r="V310" i="16"/>
  <c r="V204" i="16"/>
  <c r="V303" i="16"/>
  <c r="V297" i="16"/>
  <c r="V19" i="16"/>
  <c r="V173" i="16"/>
  <c r="V263" i="16"/>
  <c r="V43" i="16"/>
  <c r="V54" i="16"/>
  <c r="V67" i="16"/>
  <c r="V51" i="16"/>
  <c r="V39" i="16"/>
  <c r="V314" i="16"/>
  <c r="V60" i="16"/>
  <c r="V257" i="16"/>
  <c r="V239" i="16"/>
  <c r="V260" i="16"/>
  <c r="V313" i="16"/>
  <c r="V72" i="16"/>
  <c r="V65" i="16"/>
  <c r="V240" i="16"/>
  <c r="V166" i="16"/>
  <c r="V169" i="16"/>
  <c r="V203" i="16"/>
  <c r="V282" i="16"/>
  <c r="V30" i="16"/>
  <c r="V29" i="16"/>
  <c r="V168" i="16"/>
  <c r="V208" i="16"/>
  <c r="V20" i="16"/>
  <c r="V322" i="16"/>
  <c r="V279" i="16"/>
  <c r="V66" i="16"/>
  <c r="V249" i="16"/>
  <c r="V18" i="16"/>
  <c r="V220" i="16"/>
  <c r="V237" i="16"/>
  <c r="V247" i="16"/>
  <c r="V187" i="16"/>
  <c r="V78" i="16"/>
  <c r="V289" i="16"/>
  <c r="V46" i="16"/>
  <c r="V77" i="16"/>
  <c r="V57" i="16"/>
  <c r="V223" i="16"/>
  <c r="V320" i="16"/>
  <c r="V295" i="16"/>
  <c r="V267" i="16"/>
  <c r="V37" i="16"/>
  <c r="V63" i="16"/>
  <c r="V318" i="16"/>
  <c r="V189" i="16"/>
  <c r="V68" i="16"/>
  <c r="V176" i="16"/>
  <c r="V22" i="16"/>
  <c r="V264" i="16"/>
  <c r="V27" i="16"/>
  <c r="V291" i="16"/>
  <c r="V255" i="16"/>
  <c r="V21" i="16"/>
  <c r="V47" i="16"/>
  <c r="V299" i="16"/>
  <c r="V75" i="16"/>
  <c r="V233" i="16"/>
  <c r="V191" i="16"/>
  <c r="V180" i="16"/>
  <c r="V15" i="16"/>
  <c r="V186" i="16"/>
  <c r="V234" i="16"/>
  <c r="V56" i="16"/>
  <c r="V62" i="16"/>
  <c r="V331" i="16"/>
  <c r="V162" i="16"/>
  <c r="V268" i="16"/>
  <c r="V273" i="16"/>
  <c r="V74" i="16"/>
  <c r="V211" i="16"/>
  <c r="V212" i="16"/>
  <c r="V221" i="16"/>
  <c r="V259" i="16"/>
  <c r="V219" i="16"/>
  <c r="V190" i="16"/>
  <c r="V202" i="16"/>
  <c r="V327" i="16"/>
  <c r="V200" i="16"/>
  <c r="V206" i="16"/>
  <c r="V329" i="16"/>
  <c r="V185" i="16"/>
  <c r="V158" i="16"/>
  <c r="V277" i="16"/>
  <c r="V25" i="16"/>
  <c r="V36" i="16"/>
  <c r="V325" i="16"/>
  <c r="V48" i="16"/>
  <c r="V58" i="16"/>
  <c r="V308" i="16"/>
  <c r="V326" i="16"/>
  <c r="V32" i="16"/>
  <c r="V272" i="16"/>
  <c r="V159" i="16"/>
  <c r="V265" i="16"/>
  <c r="V315" i="16"/>
  <c r="V178" i="16"/>
  <c r="V324" i="16"/>
  <c r="V64" i="16"/>
  <c r="V288" i="16"/>
  <c r="V205" i="16"/>
  <c r="V294" i="16"/>
  <c r="V287" i="16"/>
  <c r="V328" i="16"/>
  <c r="V319" i="16"/>
  <c r="V254" i="16"/>
  <c r="V38" i="16"/>
  <c r="V35" i="16"/>
  <c r="V274" i="16"/>
  <c r="V192" i="16"/>
  <c r="V245" i="16"/>
  <c r="V215" i="16"/>
  <c r="V229" i="16"/>
  <c r="V14" i="16"/>
  <c r="V175" i="16"/>
  <c r="V163" i="16"/>
  <c r="V170" i="16"/>
  <c r="V276" i="16"/>
  <c r="V251" i="16"/>
  <c r="V16" i="16"/>
  <c r="V198" i="16"/>
  <c r="V241" i="16"/>
  <c r="V224" i="16"/>
  <c r="V309" i="16"/>
  <c r="V23" i="16"/>
  <c r="V184" i="16"/>
  <c r="V235" i="16"/>
  <c r="V225" i="16"/>
  <c r="V266" i="16"/>
  <c r="V11" i="16"/>
  <c r="V246" i="16"/>
  <c r="V33" i="16"/>
  <c r="V218" i="16"/>
  <c r="V262" i="16"/>
  <c r="V167" i="16"/>
  <c r="V69" i="16"/>
  <c r="V55" i="16"/>
  <c r="V209" i="16"/>
  <c r="V197" i="16"/>
  <c r="V323" i="16"/>
  <c r="V311" i="16"/>
  <c r="V50" i="16"/>
  <c r="V290" i="16"/>
  <c r="V300" i="16"/>
  <c r="V292" i="16"/>
  <c r="V232" i="16"/>
  <c r="V171" i="16"/>
  <c r="V230" i="16"/>
  <c r="V183" i="16"/>
  <c r="V161" i="16"/>
  <c r="V194" i="16"/>
  <c r="V248" i="16"/>
  <c r="V238" i="16"/>
  <c r="V269" i="16"/>
  <c r="V40" i="16"/>
  <c r="V41" i="16"/>
  <c r="V252" i="16"/>
  <c r="V165" i="16"/>
  <c r="V226" i="16"/>
  <c r="V222" i="16"/>
  <c r="V284" i="16"/>
  <c r="V70" i="16"/>
  <c r="V280" i="16"/>
  <c r="V10" i="16"/>
  <c r="V285" i="16"/>
  <c r="V258" i="16"/>
  <c r="V31" i="16"/>
  <c r="V17" i="16"/>
  <c r="V307" i="16"/>
  <c r="V76" i="16"/>
  <c r="V172" i="16"/>
  <c r="V174" i="16"/>
  <c r="V210" i="16"/>
  <c r="V283" i="16"/>
  <c r="O335" i="4"/>
  <c r="Q335" i="4" s="1"/>
  <c r="N335" i="4"/>
  <c r="P335" i="4"/>
  <c r="M336" i="4"/>
  <c r="O336" i="4" l="1"/>
  <c r="Q336" i="4" s="1"/>
  <c r="N336" i="4"/>
  <c r="P336" i="4"/>
  <c r="M337" i="4"/>
  <c r="P337" i="4" l="1"/>
  <c r="N337" i="4"/>
  <c r="O337" i="4"/>
  <c r="Q337" i="4" s="1"/>
  <c r="M338" i="4"/>
  <c r="O338" i="4" l="1"/>
  <c r="Q338" i="4" s="1"/>
  <c r="P338" i="4"/>
  <c r="N338" i="4"/>
  <c r="T120" i="4" s="1"/>
  <c r="C21" i="1"/>
  <c r="C18" i="1"/>
  <c r="D121" i="1"/>
  <c r="D120" i="1"/>
  <c r="D29" i="1"/>
  <c r="C10" i="1"/>
  <c r="E52" i="4" s="1"/>
  <c r="C9" i="1"/>
  <c r="M8" i="1"/>
  <c r="M9" i="1" s="1"/>
  <c r="M10" i="1" s="1"/>
  <c r="M11" i="1" s="1"/>
  <c r="M13" i="1" s="1"/>
  <c r="M14" i="1" s="1"/>
  <c r="M15" i="1" s="1"/>
  <c r="M16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M147" i="1" s="1"/>
  <c r="M148" i="1" s="1"/>
  <c r="M149" i="1" s="1"/>
  <c r="M150" i="1" s="1"/>
  <c r="M151" i="1" s="1"/>
  <c r="M152" i="1" s="1"/>
  <c r="M153" i="1" s="1"/>
  <c r="M154" i="1" s="1"/>
  <c r="M155" i="1" s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M169" i="1" s="1"/>
  <c r="M170" i="1" s="1"/>
  <c r="M171" i="1" s="1"/>
  <c r="M172" i="1" s="1"/>
  <c r="M173" i="1" s="1"/>
  <c r="M174" i="1" s="1"/>
  <c r="M175" i="1" s="1"/>
  <c r="M176" i="1" s="1"/>
  <c r="M177" i="1" s="1"/>
  <c r="M178" i="1" s="1"/>
  <c r="M179" i="1" s="1"/>
  <c r="M180" i="1" s="1"/>
  <c r="M181" i="1" s="1"/>
  <c r="M182" i="1" s="1"/>
  <c r="M183" i="1" s="1"/>
  <c r="M184" i="1" s="1"/>
  <c r="M185" i="1" s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M197" i="1" s="1"/>
  <c r="M198" i="1" s="1"/>
  <c r="M199" i="1" s="1"/>
  <c r="M200" i="1" s="1"/>
  <c r="M201" i="1" s="1"/>
  <c r="M202" i="1" s="1"/>
  <c r="M203" i="1" s="1"/>
  <c r="M204" i="1" s="1"/>
  <c r="M205" i="1" s="1"/>
  <c r="M206" i="1" s="1"/>
  <c r="M207" i="1" s="1"/>
  <c r="M208" i="1" s="1"/>
  <c r="M209" i="1" s="1"/>
  <c r="M210" i="1" s="1"/>
  <c r="M211" i="1" s="1"/>
  <c r="M212" i="1" s="1"/>
  <c r="M213" i="1" s="1"/>
  <c r="M214" i="1" s="1"/>
  <c r="M215" i="1" s="1"/>
  <c r="M216" i="1" s="1"/>
  <c r="M217" i="1" s="1"/>
  <c r="M218" i="1" s="1"/>
  <c r="M219" i="1" s="1"/>
  <c r="M220" i="1" s="1"/>
  <c r="M221" i="1" s="1"/>
  <c r="M222" i="1" s="1"/>
  <c r="M223" i="1" s="1"/>
  <c r="M224" i="1" s="1"/>
  <c r="M225" i="1" s="1"/>
  <c r="M226" i="1" s="1"/>
  <c r="M227" i="1" s="1"/>
  <c r="M228" i="1" s="1"/>
  <c r="M229" i="1" s="1"/>
  <c r="M230" i="1" s="1"/>
  <c r="M231" i="1" s="1"/>
  <c r="M232" i="1" s="1"/>
  <c r="M233" i="1" s="1"/>
  <c r="M234" i="1" s="1"/>
  <c r="M235" i="1" s="1"/>
  <c r="M236" i="1" s="1"/>
  <c r="M237" i="1" s="1"/>
  <c r="M238" i="1" s="1"/>
  <c r="M239" i="1" s="1"/>
  <c r="M240" i="1" s="1"/>
  <c r="M241" i="1" s="1"/>
  <c r="M242" i="1" s="1"/>
  <c r="M243" i="1" s="1"/>
  <c r="M244" i="1" s="1"/>
  <c r="M245" i="1" s="1"/>
  <c r="M246" i="1" s="1"/>
  <c r="M247" i="1" s="1"/>
  <c r="M248" i="1" s="1"/>
  <c r="M249" i="1" s="1"/>
  <c r="M250" i="1" s="1"/>
  <c r="M251" i="1" s="1"/>
  <c r="M252" i="1" s="1"/>
  <c r="M253" i="1" s="1"/>
  <c r="M254" i="1" s="1"/>
  <c r="M255" i="1" s="1"/>
  <c r="M256" i="1" s="1"/>
  <c r="M257" i="1" s="1"/>
  <c r="M258" i="1" s="1"/>
  <c r="M259" i="1" s="1"/>
  <c r="M260" i="1" s="1"/>
  <c r="M261" i="1" s="1"/>
  <c r="M262" i="1" s="1"/>
  <c r="M263" i="1" s="1"/>
  <c r="M264" i="1" s="1"/>
  <c r="M265" i="1" s="1"/>
  <c r="M266" i="1" s="1"/>
  <c r="M267" i="1" s="1"/>
  <c r="M268" i="1" s="1"/>
  <c r="M269" i="1" s="1"/>
  <c r="M270" i="1" s="1"/>
  <c r="M271" i="1" s="1"/>
  <c r="M272" i="1" s="1"/>
  <c r="M273" i="1" s="1"/>
  <c r="M274" i="1" s="1"/>
  <c r="M275" i="1" s="1"/>
  <c r="M276" i="1" s="1"/>
  <c r="M277" i="1" s="1"/>
  <c r="M278" i="1" s="1"/>
  <c r="M279" i="1" s="1"/>
  <c r="M280" i="1" s="1"/>
  <c r="M281" i="1" s="1"/>
  <c r="M282" i="1" s="1"/>
  <c r="M283" i="1" s="1"/>
  <c r="M284" i="1" s="1"/>
  <c r="M285" i="1" s="1"/>
  <c r="M286" i="1" s="1"/>
  <c r="M287" i="1" s="1"/>
  <c r="M288" i="1" s="1"/>
  <c r="M289" i="1" s="1"/>
  <c r="M290" i="1" s="1"/>
  <c r="M291" i="1" s="1"/>
  <c r="M292" i="1" s="1"/>
  <c r="M293" i="1" s="1"/>
  <c r="M294" i="1" s="1"/>
  <c r="M295" i="1" s="1"/>
  <c r="M296" i="1" s="1"/>
  <c r="M297" i="1" s="1"/>
  <c r="M298" i="1" s="1"/>
  <c r="M299" i="1" s="1"/>
  <c r="M300" i="1" s="1"/>
  <c r="M301" i="1" s="1"/>
  <c r="M302" i="1" s="1"/>
  <c r="M303" i="1" s="1"/>
  <c r="M304" i="1" s="1"/>
  <c r="M305" i="1" s="1"/>
  <c r="M306" i="1" s="1"/>
  <c r="M307" i="1" s="1"/>
  <c r="M308" i="1" s="1"/>
  <c r="M309" i="1" s="1"/>
  <c r="M310" i="1" s="1"/>
  <c r="M311" i="1" s="1"/>
  <c r="M312" i="1" s="1"/>
  <c r="M313" i="1" s="1"/>
  <c r="M314" i="1" s="1"/>
  <c r="M315" i="1" s="1"/>
  <c r="M316" i="1" s="1"/>
  <c r="M317" i="1" s="1"/>
  <c r="M318" i="1" s="1"/>
  <c r="M319" i="1" s="1"/>
  <c r="M320" i="1" s="1"/>
  <c r="M321" i="1" s="1"/>
  <c r="M322" i="1" s="1"/>
  <c r="M323" i="1" s="1"/>
  <c r="M324" i="1" s="1"/>
  <c r="M325" i="1" s="1"/>
  <c r="M326" i="1" s="1"/>
  <c r="M327" i="1" s="1"/>
  <c r="M328" i="1" s="1"/>
  <c r="M329" i="1" s="1"/>
  <c r="M330" i="1" s="1"/>
  <c r="C8" i="1"/>
  <c r="C7" i="1"/>
  <c r="B56" i="4" l="1"/>
  <c r="G57" i="16" s="1"/>
  <c r="B62" i="4"/>
  <c r="T8" i="4"/>
  <c r="T15" i="4"/>
  <c r="T16" i="4"/>
  <c r="T14" i="4"/>
  <c r="T10" i="4"/>
  <c r="T11" i="4"/>
  <c r="T9" i="4"/>
  <c r="T18" i="4"/>
  <c r="T13" i="4"/>
  <c r="T19" i="4"/>
  <c r="T22" i="4"/>
  <c r="T20" i="4"/>
  <c r="T21" i="4"/>
  <c r="T25" i="4"/>
  <c r="T23" i="4"/>
  <c r="T24" i="4"/>
  <c r="T28" i="4"/>
  <c r="T26" i="4"/>
  <c r="T27" i="4"/>
  <c r="T29" i="4"/>
  <c r="T30" i="4"/>
  <c r="T31" i="4"/>
  <c r="T34" i="4"/>
  <c r="T32" i="4"/>
  <c r="T33" i="4"/>
  <c r="T35" i="4"/>
  <c r="T37" i="4"/>
  <c r="T36" i="4"/>
  <c r="T38" i="4"/>
  <c r="T39" i="4"/>
  <c r="T40" i="4"/>
  <c r="T42" i="4"/>
  <c r="T41" i="4"/>
  <c r="T43" i="4"/>
  <c r="T44" i="4"/>
  <c r="T45" i="4"/>
  <c r="T46" i="4"/>
  <c r="T47" i="4"/>
  <c r="T48" i="4"/>
  <c r="T51" i="4"/>
  <c r="T49" i="4"/>
  <c r="T50" i="4"/>
  <c r="T53" i="4"/>
  <c r="T52" i="4"/>
  <c r="T55" i="4"/>
  <c r="T54" i="4"/>
  <c r="T56" i="4"/>
  <c r="T57" i="4"/>
  <c r="T58" i="4"/>
  <c r="T61" i="4"/>
  <c r="T59" i="4"/>
  <c r="T60" i="4"/>
  <c r="T63" i="4"/>
  <c r="T62" i="4"/>
  <c r="T66" i="4"/>
  <c r="T64" i="4"/>
  <c r="T65" i="4"/>
  <c r="T69" i="4"/>
  <c r="T67" i="4"/>
  <c r="T68" i="4"/>
  <c r="T70" i="4"/>
  <c r="T71" i="4"/>
  <c r="T74" i="4"/>
  <c r="T72" i="4"/>
  <c r="T73" i="4"/>
  <c r="T76" i="4"/>
  <c r="T75" i="4"/>
  <c r="T77" i="4"/>
  <c r="T78" i="4"/>
  <c r="T81" i="4"/>
  <c r="T79" i="4"/>
  <c r="T80" i="4"/>
  <c r="T83" i="4"/>
  <c r="T82" i="4"/>
  <c r="T84" i="4"/>
  <c r="T86" i="4"/>
  <c r="T85" i="4"/>
  <c r="T87" i="4"/>
  <c r="T88" i="4"/>
  <c r="T89" i="4"/>
  <c r="T90" i="4"/>
  <c r="T92" i="4"/>
  <c r="T91" i="4"/>
  <c r="T93" i="4"/>
  <c r="T96" i="4"/>
  <c r="T94" i="4"/>
  <c r="T95" i="4"/>
  <c r="T97" i="4"/>
  <c r="T98" i="4"/>
  <c r="T99" i="4"/>
  <c r="T100" i="4"/>
  <c r="T101" i="4"/>
  <c r="T103" i="4"/>
  <c r="T102" i="4"/>
  <c r="T105" i="4"/>
  <c r="T104" i="4"/>
  <c r="T106" i="4"/>
  <c r="T107" i="4"/>
  <c r="T110" i="4"/>
  <c r="T108" i="4"/>
  <c r="T109" i="4"/>
  <c r="T113" i="4"/>
  <c r="T111" i="4"/>
  <c r="T112" i="4"/>
  <c r="T116" i="4"/>
  <c r="T114" i="4"/>
  <c r="T115" i="4"/>
  <c r="T117" i="4"/>
  <c r="T118" i="4"/>
  <c r="T119" i="4"/>
  <c r="T121" i="4"/>
  <c r="T122" i="4"/>
  <c r="T123" i="4"/>
  <c r="T125" i="4"/>
  <c r="T124" i="4"/>
  <c r="T128" i="4"/>
  <c r="T126" i="4"/>
  <c r="T127" i="4"/>
  <c r="T133" i="4"/>
  <c r="T138" i="4"/>
  <c r="T141" i="4"/>
  <c r="T139" i="4"/>
  <c r="T142" i="4"/>
  <c r="T140" i="4"/>
  <c r="T143" i="4"/>
  <c r="T146" i="4"/>
  <c r="T144" i="4"/>
  <c r="T145" i="4"/>
  <c r="T149" i="4"/>
  <c r="T147" i="4"/>
  <c r="T148" i="4"/>
  <c r="T150" i="4"/>
  <c r="T152" i="4"/>
  <c r="T151" i="4"/>
  <c r="T154" i="4"/>
  <c r="T153" i="4"/>
  <c r="T157" i="4"/>
  <c r="T155" i="4"/>
  <c r="T156" i="4"/>
  <c r="T158" i="4"/>
  <c r="T159" i="4"/>
  <c r="T162" i="4"/>
  <c r="T160" i="4"/>
  <c r="T161" i="4"/>
  <c r="T165" i="4"/>
  <c r="T163" i="4"/>
  <c r="T164" i="4"/>
  <c r="T166" i="4"/>
  <c r="T167" i="4"/>
  <c r="T168" i="4"/>
  <c r="T169" i="4"/>
  <c r="T172" i="4"/>
  <c r="T170" i="4"/>
  <c r="T171" i="4"/>
  <c r="T175" i="4"/>
  <c r="T173" i="4"/>
  <c r="T174" i="4"/>
  <c r="T178" i="4"/>
  <c r="T176" i="4"/>
  <c r="T177" i="4"/>
  <c r="T181" i="4"/>
  <c r="T179" i="4"/>
  <c r="T180" i="4"/>
  <c r="T184" i="4"/>
  <c r="T182" i="4"/>
  <c r="T183" i="4"/>
  <c r="T185" i="4"/>
  <c r="T186" i="4"/>
  <c r="T187" i="4"/>
  <c r="T188" i="4"/>
  <c r="T189" i="4"/>
  <c r="T190" i="4"/>
  <c r="T191" i="4"/>
  <c r="T193" i="4"/>
  <c r="T192" i="4"/>
  <c r="T194" i="4"/>
  <c r="T195" i="4"/>
  <c r="T197" i="4"/>
  <c r="T196" i="4"/>
  <c r="T198" i="4"/>
  <c r="T199" i="4"/>
  <c r="T200" i="4"/>
  <c r="T201" i="4"/>
  <c r="T202" i="4"/>
  <c r="T205" i="4"/>
  <c r="T203" i="4"/>
  <c r="T204" i="4"/>
  <c r="T207" i="4"/>
  <c r="T206" i="4"/>
  <c r="T209" i="4"/>
  <c r="T208" i="4"/>
  <c r="T210" i="4"/>
  <c r="T213" i="4"/>
  <c r="T211" i="4"/>
  <c r="T212" i="4"/>
  <c r="T216" i="4"/>
  <c r="T214" i="4"/>
  <c r="T215" i="4"/>
  <c r="T217" i="4"/>
  <c r="T219" i="4"/>
  <c r="T218" i="4"/>
  <c r="T220" i="4"/>
  <c r="T221" i="4"/>
  <c r="T222" i="4"/>
  <c r="T225" i="4"/>
  <c r="T223" i="4"/>
  <c r="T224" i="4"/>
  <c r="T226" i="4"/>
  <c r="T227" i="4"/>
  <c r="T228" i="4"/>
  <c r="T229" i="4"/>
  <c r="T233" i="4"/>
  <c r="T231" i="4"/>
  <c r="T230" i="4"/>
  <c r="T232" i="4"/>
  <c r="T234" i="4"/>
  <c r="T237" i="4"/>
  <c r="T236" i="4"/>
  <c r="T235" i="4"/>
  <c r="T238" i="4"/>
  <c r="T239" i="4"/>
  <c r="T240" i="4"/>
  <c r="T241" i="4"/>
  <c r="T242" i="4"/>
  <c r="T244" i="4"/>
  <c r="T243" i="4"/>
  <c r="T246" i="4"/>
  <c r="T245" i="4"/>
  <c r="T248" i="4"/>
  <c r="T247" i="4"/>
  <c r="T251" i="4"/>
  <c r="T249" i="4"/>
  <c r="T250" i="4"/>
  <c r="T252" i="4"/>
  <c r="T254" i="4"/>
  <c r="T253" i="4"/>
  <c r="T255" i="4"/>
  <c r="T258" i="4"/>
  <c r="T256" i="4"/>
  <c r="T257" i="4"/>
  <c r="T261" i="4"/>
  <c r="T259" i="4"/>
  <c r="T260" i="4"/>
  <c r="T262" i="4"/>
  <c r="T263" i="4"/>
  <c r="T266" i="4"/>
  <c r="T264" i="4"/>
  <c r="T265" i="4"/>
  <c r="T267" i="4"/>
  <c r="T268" i="4"/>
  <c r="T271" i="4"/>
  <c r="T269" i="4"/>
  <c r="T270" i="4"/>
  <c r="T274" i="4"/>
  <c r="T272" i="4"/>
  <c r="T273" i="4"/>
  <c r="T275" i="4"/>
  <c r="T277" i="4"/>
  <c r="T276" i="4"/>
  <c r="T279" i="4"/>
  <c r="T278" i="4"/>
  <c r="T281" i="4"/>
  <c r="T280" i="4"/>
  <c r="T282" i="4"/>
  <c r="T284" i="4"/>
  <c r="T283" i="4"/>
  <c r="T285" i="4"/>
  <c r="T288" i="4"/>
  <c r="T286" i="4"/>
  <c r="T287" i="4"/>
  <c r="T291" i="4"/>
  <c r="T289" i="4"/>
  <c r="T290" i="4"/>
  <c r="T292" i="4"/>
  <c r="T294" i="4"/>
  <c r="T293" i="4"/>
  <c r="T295" i="4"/>
  <c r="T296" i="4"/>
  <c r="T299" i="4"/>
  <c r="T297" i="4"/>
  <c r="T298" i="4"/>
  <c r="T302" i="4"/>
  <c r="T300" i="4"/>
  <c r="T301" i="4"/>
  <c r="T304" i="4"/>
  <c r="T303" i="4"/>
  <c r="T305" i="4"/>
  <c r="T306" i="4"/>
  <c r="T309" i="4"/>
  <c r="T307" i="4"/>
  <c r="T308" i="4"/>
  <c r="T311" i="4"/>
  <c r="T310" i="4"/>
  <c r="T312" i="4"/>
  <c r="T313" i="4"/>
  <c r="T314" i="4"/>
  <c r="T315" i="4"/>
  <c r="T316" i="4"/>
  <c r="T318" i="4"/>
  <c r="T317" i="4"/>
  <c r="E50" i="1"/>
  <c r="E51" i="4"/>
  <c r="E49" i="1"/>
  <c r="E50" i="4"/>
  <c r="E48" i="1"/>
  <c r="E49" i="4"/>
  <c r="C19" i="1"/>
  <c r="I20" i="1" s="1"/>
  <c r="I21" i="1" s="1"/>
  <c r="D30" i="1"/>
  <c r="I10" i="1"/>
  <c r="I11" i="1" s="1"/>
  <c r="E51" i="1"/>
  <c r="B48" i="1" l="1"/>
  <c r="G57" i="1"/>
  <c r="G58" i="4"/>
  <c r="B49" i="4"/>
  <c r="D31" i="1"/>
  <c r="I14" i="1"/>
  <c r="B49" i="1" l="1"/>
  <c r="D32" i="1"/>
  <c r="G60" i="4" s="1"/>
  <c r="G58" i="1"/>
  <c r="I15" i="1"/>
  <c r="I24" i="1"/>
  <c r="I25" i="1" s="1"/>
  <c r="G59" i="4"/>
  <c r="B50" i="4"/>
  <c r="G59" i="1" l="1"/>
  <c r="D33" i="1"/>
  <c r="I27" i="1"/>
  <c r="B60" i="4"/>
  <c r="B51" i="4"/>
  <c r="B50" i="1"/>
  <c r="G61" i="4"/>
  <c r="B61" i="4" s="1"/>
  <c r="B52" i="4"/>
  <c r="U70" i="1"/>
  <c r="U12" i="1"/>
  <c r="U17" i="1"/>
  <c r="I29" i="1"/>
  <c r="P291" i="1" s="1"/>
  <c r="Q291" i="1" s="1"/>
  <c r="B51" i="1"/>
  <c r="G60" i="1" l="1"/>
  <c r="B59" i="4"/>
  <c r="B58" i="4"/>
  <c r="O24" i="1"/>
  <c r="S24" i="1" s="1"/>
  <c r="P53" i="1"/>
  <c r="Q53" i="1" s="1"/>
  <c r="P79" i="1"/>
  <c r="Q79" i="1" s="1"/>
  <c r="P114" i="1"/>
  <c r="Q114" i="1" s="1"/>
  <c r="P239" i="1"/>
  <c r="Q239" i="1" s="1"/>
  <c r="O161" i="1"/>
  <c r="R161" i="1" s="1"/>
  <c r="O177" i="1"/>
  <c r="S177" i="1" s="1"/>
  <c r="P143" i="1"/>
  <c r="Q143" i="1" s="1"/>
  <c r="N195" i="1"/>
  <c r="U195" i="1" s="1"/>
  <c r="P18" i="1"/>
  <c r="Q18" i="1" s="1"/>
  <c r="N292" i="1"/>
  <c r="U292" i="1" s="1"/>
  <c r="P207" i="1"/>
  <c r="Q207" i="1" s="1"/>
  <c r="N293" i="1"/>
  <c r="U293" i="1" s="1"/>
  <c r="O185" i="1"/>
  <c r="S185" i="1" s="1"/>
  <c r="N128" i="1"/>
  <c r="U128" i="1" s="1"/>
  <c r="P48" i="1"/>
  <c r="Q48" i="1" s="1"/>
  <c r="P225" i="1"/>
  <c r="Q225" i="1" s="1"/>
  <c r="O125" i="1"/>
  <c r="S125" i="1" s="1"/>
  <c r="O204" i="1"/>
  <c r="S204" i="1" s="1"/>
  <c r="N325" i="1"/>
  <c r="U325" i="1" s="1"/>
  <c r="P95" i="1"/>
  <c r="Q95" i="1" s="1"/>
  <c r="P129" i="1"/>
  <c r="Q129" i="1" s="1"/>
  <c r="O60" i="1"/>
  <c r="S60" i="1" s="1"/>
  <c r="P301" i="1"/>
  <c r="Q301" i="1" s="1"/>
  <c r="N253" i="1"/>
  <c r="U253" i="1" s="1"/>
  <c r="P264" i="1"/>
  <c r="Q264" i="1" s="1"/>
  <c r="P44" i="1"/>
  <c r="Q44" i="1" s="1"/>
  <c r="P276" i="1"/>
  <c r="Q276" i="1" s="1"/>
  <c r="O221" i="1"/>
  <c r="S221" i="1" s="1"/>
  <c r="N238" i="1"/>
  <c r="U238" i="1" s="1"/>
  <c r="P58" i="1"/>
  <c r="Q58" i="1" s="1"/>
  <c r="O65" i="1"/>
  <c r="S65" i="1" s="1"/>
  <c r="P136" i="1"/>
  <c r="Q136" i="1" s="1"/>
  <c r="O277" i="1"/>
  <c r="S277" i="1" s="1"/>
  <c r="O189" i="1"/>
  <c r="S189" i="1" s="1"/>
  <c r="N37" i="1"/>
  <c r="U37" i="1" s="1"/>
  <c r="N164" i="1"/>
  <c r="U164" i="1" s="1"/>
  <c r="P94" i="1"/>
  <c r="Q94" i="1" s="1"/>
  <c r="N211" i="1"/>
  <c r="U211" i="1" s="1"/>
  <c r="P254" i="1"/>
  <c r="Q254" i="1" s="1"/>
  <c r="P102" i="1"/>
  <c r="Q102" i="1" s="1"/>
  <c r="P303" i="1"/>
  <c r="Q303" i="1" s="1"/>
  <c r="N209" i="1"/>
  <c r="U209" i="1" s="1"/>
  <c r="O271" i="1"/>
  <c r="S271" i="1" s="1"/>
  <c r="O48" i="1"/>
  <c r="R48" i="1" s="1"/>
  <c r="N189" i="1"/>
  <c r="U189" i="1" s="1"/>
  <c r="P144" i="1"/>
  <c r="Q144" i="1" s="1"/>
  <c r="N250" i="1"/>
  <c r="U250" i="1" s="1"/>
  <c r="N103" i="1"/>
  <c r="U103" i="1" s="1"/>
  <c r="P45" i="1"/>
  <c r="Q45" i="1" s="1"/>
  <c r="N313" i="1"/>
  <c r="U313" i="1" s="1"/>
  <c r="O180" i="1"/>
  <c r="R180" i="1" s="1"/>
  <c r="N200" i="1"/>
  <c r="U200" i="1" s="1"/>
  <c r="O190" i="1"/>
  <c r="S190" i="1" s="1"/>
  <c r="P283" i="1"/>
  <c r="Q283" i="1" s="1"/>
  <c r="N122" i="1"/>
  <c r="U122" i="1" s="1"/>
  <c r="N67" i="1"/>
  <c r="U67" i="1" s="1"/>
  <c r="P119" i="1"/>
  <c r="Q119" i="1" s="1"/>
  <c r="N173" i="1"/>
  <c r="U173" i="1" s="1"/>
  <c r="O304" i="1"/>
  <c r="S304" i="1" s="1"/>
  <c r="O278" i="1"/>
  <c r="S278" i="1" s="1"/>
  <c r="P245" i="1"/>
  <c r="Q245" i="1" s="1"/>
  <c r="P148" i="1"/>
  <c r="Q148" i="1" s="1"/>
  <c r="O270" i="1"/>
  <c r="S270" i="1" s="1"/>
  <c r="O80" i="1"/>
  <c r="R80" i="1" s="1"/>
  <c r="N304" i="1"/>
  <c r="U304" i="1" s="1"/>
  <c r="O312" i="1"/>
  <c r="S312" i="1" s="1"/>
  <c r="O286" i="1"/>
  <c r="N155" i="1"/>
  <c r="U155" i="1" s="1"/>
  <c r="P49" i="1"/>
  <c r="Q49" i="1" s="1"/>
  <c r="P113" i="1"/>
  <c r="Q113" i="1" s="1"/>
  <c r="O148" i="1"/>
  <c r="R148" i="1" s="1"/>
  <c r="P168" i="1"/>
  <c r="Q168" i="1" s="1"/>
  <c r="P8" i="1"/>
  <c r="P98" i="1"/>
  <c r="Q98" i="1" s="1"/>
  <c r="P78" i="1"/>
  <c r="Q78" i="1" s="1"/>
  <c r="O37" i="1"/>
  <c r="S37" i="1" s="1"/>
  <c r="O73" i="1"/>
  <c r="S73" i="1" s="1"/>
  <c r="N324" i="1"/>
  <c r="U324" i="1" s="1"/>
  <c r="O248" i="1"/>
  <c r="S248" i="1" s="1"/>
  <c r="P247" i="1"/>
  <c r="Q247" i="1" s="1"/>
  <c r="O31" i="1"/>
  <c r="R31" i="1" s="1"/>
  <c r="N87" i="1"/>
  <c r="U87" i="1" s="1"/>
  <c r="N309" i="1"/>
  <c r="U309" i="1" s="1"/>
  <c r="O195" i="1"/>
  <c r="P128" i="1"/>
  <c r="Q128" i="1" s="1"/>
  <c r="O296" i="1"/>
  <c r="S296" i="1" s="1"/>
  <c r="P50" i="1"/>
  <c r="Q50" i="1" s="1"/>
  <c r="N210" i="1"/>
  <c r="U210" i="1" s="1"/>
  <c r="N185" i="1"/>
  <c r="U185" i="1" s="1"/>
  <c r="O50" i="1"/>
  <c r="R50" i="1" s="1"/>
  <c r="O142" i="1"/>
  <c r="R142" i="1" s="1"/>
  <c r="P157" i="1"/>
  <c r="Q157" i="1" s="1"/>
  <c r="P311" i="1"/>
  <c r="Q311" i="1" s="1"/>
  <c r="O301" i="1"/>
  <c r="R301" i="1" s="1"/>
  <c r="N142" i="1"/>
  <c r="U142" i="1" s="1"/>
  <c r="O151" i="1"/>
  <c r="S151" i="1" s="1"/>
  <c r="P32" i="1"/>
  <c r="Q32" i="1" s="1"/>
  <c r="P271" i="1"/>
  <c r="Q271" i="1" s="1"/>
  <c r="P14" i="1"/>
  <c r="Q14" i="1" s="1"/>
  <c r="O303" i="1"/>
  <c r="S303" i="1" s="1"/>
  <c r="O176" i="1"/>
  <c r="S176" i="1" s="1"/>
  <c r="P29" i="1"/>
  <c r="Q29" i="1" s="1"/>
  <c r="O193" i="1"/>
  <c r="S193" i="1" s="1"/>
  <c r="N108" i="1"/>
  <c r="U108" i="1" s="1"/>
  <c r="N192" i="1"/>
  <c r="U192" i="1" s="1"/>
  <c r="O36" i="1"/>
  <c r="R36" i="1" s="1"/>
  <c r="P156" i="1"/>
  <c r="Q156" i="1" s="1"/>
  <c r="O178" i="1"/>
  <c r="S178" i="1" s="1"/>
  <c r="N13" i="1"/>
  <c r="U13" i="1" s="1"/>
  <c r="O103" i="1"/>
  <c r="R103" i="1" s="1"/>
  <c r="N297" i="1"/>
  <c r="U297" i="1" s="1"/>
  <c r="O205" i="1"/>
  <c r="R205" i="1" s="1"/>
  <c r="N175" i="1"/>
  <c r="U175" i="1" s="1"/>
  <c r="O75" i="1"/>
  <c r="S75" i="1" s="1"/>
  <c r="P153" i="1"/>
  <c r="Q153" i="1" s="1"/>
  <c r="O219" i="1"/>
  <c r="S219" i="1" s="1"/>
  <c r="N247" i="1"/>
  <c r="U247" i="1" s="1"/>
  <c r="O14" i="1"/>
  <c r="S14" i="1" s="1"/>
  <c r="P76" i="1"/>
  <c r="Q76" i="1" s="1"/>
  <c r="N319" i="1"/>
  <c r="U319" i="1" s="1"/>
  <c r="O45" i="1"/>
  <c r="S45" i="1" s="1"/>
  <c r="O23" i="1"/>
  <c r="R23" i="1" s="1"/>
  <c r="P200" i="1"/>
  <c r="Q200" i="1" s="1"/>
  <c r="P328" i="1"/>
  <c r="Q328" i="1" s="1"/>
  <c r="N312" i="1"/>
  <c r="U312" i="1" s="1"/>
  <c r="O188" i="1"/>
  <c r="S188" i="1" s="1"/>
  <c r="P222" i="1"/>
  <c r="Q222" i="1" s="1"/>
  <c r="N116" i="1"/>
  <c r="U116" i="1" s="1"/>
  <c r="O16" i="1"/>
  <c r="R16" i="1" s="1"/>
  <c r="O67" i="1"/>
  <c r="R67" i="1" s="1"/>
  <c r="P298" i="1"/>
  <c r="Q298" i="1" s="1"/>
  <c r="N308" i="1"/>
  <c r="U308" i="1" s="1"/>
  <c r="N271" i="1"/>
  <c r="U271" i="1" s="1"/>
  <c r="O46" i="1"/>
  <c r="S46" i="1" s="1"/>
  <c r="N32" i="1"/>
  <c r="U32" i="1" s="1"/>
  <c r="P121" i="1"/>
  <c r="Q121" i="1" s="1"/>
  <c r="N28" i="1"/>
  <c r="U28" i="1" s="1"/>
  <c r="P181" i="1"/>
  <c r="Q181" i="1" s="1"/>
  <c r="O259" i="1"/>
  <c r="S259" i="1" s="1"/>
  <c r="O110" i="1"/>
  <c r="P209" i="1"/>
  <c r="Q209" i="1" s="1"/>
  <c r="O19" i="1"/>
  <c r="S19" i="1" s="1"/>
  <c r="O59" i="1"/>
  <c r="R59" i="1" s="1"/>
  <c r="O244" i="1"/>
  <c r="R244" i="1" s="1"/>
  <c r="N300" i="1"/>
  <c r="U300" i="1" s="1"/>
  <c r="N208" i="1"/>
  <c r="U208" i="1" s="1"/>
  <c r="O38" i="1"/>
  <c r="S38" i="1" s="1"/>
  <c r="P236" i="1"/>
  <c r="Q236" i="1" s="1"/>
  <c r="P177" i="1"/>
  <c r="Q177" i="1" s="1"/>
  <c r="N148" i="1"/>
  <c r="U148" i="1" s="1"/>
  <c r="N39" i="1"/>
  <c r="U39" i="1" s="1"/>
  <c r="N256" i="1"/>
  <c r="U256" i="1" s="1"/>
  <c r="P237" i="1"/>
  <c r="Q237" i="1" s="1"/>
  <c r="P269" i="1"/>
  <c r="Q269" i="1" s="1"/>
  <c r="O268" i="1"/>
  <c r="R268" i="1" s="1"/>
  <c r="N158" i="1"/>
  <c r="U158" i="1" s="1"/>
  <c r="N47" i="1"/>
  <c r="U47" i="1" s="1"/>
  <c r="P215" i="1"/>
  <c r="Q215" i="1" s="1"/>
  <c r="N278" i="1"/>
  <c r="U278" i="1" s="1"/>
  <c r="N29" i="1"/>
  <c r="U29" i="1" s="1"/>
  <c r="O169" i="1"/>
  <c r="S169" i="1" s="1"/>
  <c r="O209" i="1"/>
  <c r="S209" i="1" s="1"/>
  <c r="N260" i="1"/>
  <c r="U260" i="1" s="1"/>
  <c r="N18" i="1"/>
  <c r="U18" i="1" s="1"/>
  <c r="P84" i="1"/>
  <c r="Q84" i="1" s="1"/>
  <c r="O21" i="1"/>
  <c r="R21" i="1" s="1"/>
  <c r="O245" i="1"/>
  <c r="S245" i="1" s="1"/>
  <c r="N24" i="1"/>
  <c r="U24" i="1" s="1"/>
  <c r="O109" i="1"/>
  <c r="S109" i="1" s="1"/>
  <c r="N141" i="1"/>
  <c r="U141" i="1" s="1"/>
  <c r="P325" i="1"/>
  <c r="Q325" i="1" s="1"/>
  <c r="N275" i="1"/>
  <c r="U275" i="1" s="1"/>
  <c r="P262" i="1"/>
  <c r="Q262" i="1" s="1"/>
  <c r="N151" i="1"/>
  <c r="U151" i="1" s="1"/>
  <c r="O79" i="1"/>
  <c r="R79" i="1" s="1"/>
  <c r="N257" i="1"/>
  <c r="U257" i="1" s="1"/>
  <c r="P140" i="1"/>
  <c r="Q140" i="1" s="1"/>
  <c r="N63" i="1"/>
  <c r="U63" i="1" s="1"/>
  <c r="O289" i="1"/>
  <c r="S289" i="1" s="1"/>
  <c r="P120" i="1"/>
  <c r="Q120" i="1" s="1"/>
  <c r="N207" i="1"/>
  <c r="U207" i="1" s="1"/>
  <c r="P284" i="1"/>
  <c r="Q284" i="1" s="1"/>
  <c r="N193" i="1"/>
  <c r="U193" i="1" s="1"/>
  <c r="P216" i="1"/>
  <c r="Q216" i="1" s="1"/>
  <c r="N59" i="1"/>
  <c r="U59" i="1" s="1"/>
  <c r="P270" i="1"/>
  <c r="Q270" i="1" s="1"/>
  <c r="N105" i="1"/>
  <c r="U105" i="1" s="1"/>
  <c r="O269" i="1"/>
  <c r="R269" i="1" s="1"/>
  <c r="O49" i="1"/>
  <c r="R49" i="1" s="1"/>
  <c r="N43" i="1"/>
  <c r="U43" i="1" s="1"/>
  <c r="O96" i="1"/>
  <c r="S96" i="1" s="1"/>
  <c r="O181" i="1"/>
  <c r="S181" i="1" s="1"/>
  <c r="N160" i="1"/>
  <c r="U160" i="1" s="1"/>
  <c r="P30" i="1"/>
  <c r="Q30" i="1" s="1"/>
  <c r="P297" i="1"/>
  <c r="Q297" i="1" s="1"/>
  <c r="N146" i="1"/>
  <c r="U146" i="1" s="1"/>
  <c r="O139" i="1"/>
  <c r="R139" i="1" s="1"/>
  <c r="N231" i="1"/>
  <c r="U231" i="1" s="1"/>
  <c r="P275" i="1"/>
  <c r="Q275" i="1" s="1"/>
  <c r="N323" i="1"/>
  <c r="U323" i="1" s="1"/>
  <c r="N10" i="1"/>
  <c r="U10" i="1" s="1"/>
  <c r="O40" i="1"/>
  <c r="S40" i="1" s="1"/>
  <c r="O236" i="1"/>
  <c r="R236" i="1" s="1"/>
  <c r="N71" i="1"/>
  <c r="U71" i="1" s="1"/>
  <c r="P282" i="1"/>
  <c r="Q282" i="1" s="1"/>
  <c r="N311" i="1"/>
  <c r="U311" i="1" s="1"/>
  <c r="N234" i="1"/>
  <c r="U234" i="1" s="1"/>
  <c r="P321" i="1"/>
  <c r="Q321" i="1" s="1"/>
  <c r="N249" i="1"/>
  <c r="U249" i="1" s="1"/>
  <c r="N168" i="1"/>
  <c r="U168" i="1" s="1"/>
  <c r="O174" i="1"/>
  <c r="R174" i="1" s="1"/>
  <c r="N205" i="1"/>
  <c r="U205" i="1" s="1"/>
  <c r="O294" i="1"/>
  <c r="S294" i="1" s="1"/>
  <c r="P16" i="1"/>
  <c r="Q16" i="1" s="1"/>
  <c r="O18" i="1"/>
  <c r="S18" i="1" s="1"/>
  <c r="P228" i="1"/>
  <c r="Q228" i="1" s="1"/>
  <c r="N62" i="1"/>
  <c r="U62" i="1" s="1"/>
  <c r="P31" i="1"/>
  <c r="Q31" i="1" s="1"/>
  <c r="P152" i="1"/>
  <c r="Q152" i="1" s="1"/>
  <c r="P175" i="1"/>
  <c r="Q175" i="1" s="1"/>
  <c r="N222" i="1"/>
  <c r="U222" i="1" s="1"/>
  <c r="O226" i="1"/>
  <c r="R226" i="1" s="1"/>
  <c r="N274" i="1"/>
  <c r="U274" i="1" s="1"/>
  <c r="O300" i="1"/>
  <c r="S300" i="1" s="1"/>
  <c r="O134" i="1"/>
  <c r="S134" i="1" s="1"/>
  <c r="O122" i="1"/>
  <c r="S122" i="1" s="1"/>
  <c r="O108" i="1"/>
  <c r="R108" i="1" s="1"/>
  <c r="P253" i="1"/>
  <c r="Q253" i="1" s="1"/>
  <c r="N169" i="1"/>
  <c r="U169" i="1" s="1"/>
  <c r="N81" i="1"/>
  <c r="U81" i="1" s="1"/>
  <c r="O237" i="1"/>
  <c r="R237" i="1" s="1"/>
  <c r="P131" i="1"/>
  <c r="Q131" i="1" s="1"/>
  <c r="P65" i="1"/>
  <c r="Q65" i="1" s="1"/>
  <c r="N144" i="1"/>
  <c r="U144" i="1" s="1"/>
  <c r="P229" i="1"/>
  <c r="Q229" i="1" s="1"/>
  <c r="N267" i="1"/>
  <c r="U267" i="1" s="1"/>
  <c r="P267" i="1"/>
  <c r="Q267" i="1" s="1"/>
  <c r="N330" i="1"/>
  <c r="U330" i="1" s="1"/>
  <c r="N22" i="1"/>
  <c r="U22" i="1" s="1"/>
  <c r="N219" i="1"/>
  <c r="U219" i="1" s="1"/>
  <c r="P132" i="1"/>
  <c r="Q132" i="1" s="1"/>
  <c r="N55" i="1"/>
  <c r="U55" i="1" s="1"/>
  <c r="O281" i="1"/>
  <c r="S281" i="1" s="1"/>
  <c r="O229" i="1"/>
  <c r="S229" i="1" s="1"/>
  <c r="P69" i="1"/>
  <c r="Q69" i="1" s="1"/>
  <c r="P57" i="1"/>
  <c r="Q57" i="1" s="1"/>
  <c r="N213" i="1"/>
  <c r="U213" i="1" s="1"/>
  <c r="P204" i="1"/>
  <c r="Q204" i="1" s="1"/>
  <c r="N259" i="1"/>
  <c r="U259" i="1" s="1"/>
  <c r="P111" i="1"/>
  <c r="Q111" i="1" s="1"/>
  <c r="P38" i="1"/>
  <c r="Q38" i="1" s="1"/>
  <c r="P192" i="1"/>
  <c r="Q192" i="1" s="1"/>
  <c r="P126" i="1"/>
  <c r="Q126" i="1" s="1"/>
  <c r="N314" i="1"/>
  <c r="U314" i="1" s="1"/>
  <c r="O66" i="1"/>
  <c r="R66" i="1" s="1"/>
  <c r="O242" i="1"/>
  <c r="S242" i="1" s="1"/>
  <c r="O330" i="1"/>
  <c r="S330" i="1" s="1"/>
  <c r="N56" i="1"/>
  <c r="U56" i="1" s="1"/>
  <c r="P66" i="1"/>
  <c r="Q66" i="1" s="1"/>
  <c r="O51" i="1"/>
  <c r="S51" i="1" s="1"/>
  <c r="O256" i="1"/>
  <c r="R256" i="1" s="1"/>
  <c r="P150" i="1"/>
  <c r="Q150" i="1" s="1"/>
  <c r="N95" i="1"/>
  <c r="U95" i="1" s="1"/>
  <c r="P281" i="1"/>
  <c r="Q281" i="1" s="1"/>
  <c r="N99" i="1"/>
  <c r="U99" i="1" s="1"/>
  <c r="N38" i="1"/>
  <c r="U38" i="1" s="1"/>
  <c r="P285" i="1"/>
  <c r="Q285" i="1" s="1"/>
  <c r="O327" i="1"/>
  <c r="S327" i="1" s="1"/>
  <c r="O144" i="1"/>
  <c r="S144" i="1" s="1"/>
  <c r="N265" i="1"/>
  <c r="U265" i="1" s="1"/>
  <c r="O149" i="1"/>
  <c r="R149" i="1" s="1"/>
  <c r="N66" i="1"/>
  <c r="U66" i="1" s="1"/>
  <c r="P213" i="1"/>
  <c r="Q213" i="1" s="1"/>
  <c r="N220" i="1"/>
  <c r="U220" i="1" s="1"/>
  <c r="P329" i="1"/>
  <c r="Q329" i="1" s="1"/>
  <c r="N137" i="1"/>
  <c r="U137" i="1" s="1"/>
  <c r="O35" i="1"/>
  <c r="R35" i="1" s="1"/>
  <c r="O298" i="1"/>
  <c r="R298" i="1" s="1"/>
  <c r="O206" i="1"/>
  <c r="S206" i="1" s="1"/>
  <c r="N286" i="1"/>
  <c r="U286" i="1" s="1"/>
  <c r="N170" i="1"/>
  <c r="U170" i="1" s="1"/>
  <c r="P193" i="1"/>
  <c r="Q193" i="1" s="1"/>
  <c r="N51" i="1"/>
  <c r="U51" i="1" s="1"/>
  <c r="O107" i="1"/>
  <c r="S107" i="1" s="1"/>
  <c r="O128" i="1"/>
  <c r="S128" i="1" s="1"/>
  <c r="O225" i="1"/>
  <c r="S225" i="1" s="1"/>
  <c r="N190" i="1"/>
  <c r="U190" i="1" s="1"/>
  <c r="P201" i="1"/>
  <c r="Q201" i="1" s="1"/>
  <c r="N266" i="1"/>
  <c r="U266" i="1" s="1"/>
  <c r="O292" i="1"/>
  <c r="S292" i="1" s="1"/>
  <c r="O120" i="1"/>
  <c r="S120" i="1" s="1"/>
  <c r="P72" i="1"/>
  <c r="Q72" i="1" s="1"/>
  <c r="N48" i="1"/>
  <c r="U48" i="1" s="1"/>
  <c r="P294" i="1"/>
  <c r="Q294" i="1" s="1"/>
  <c r="P185" i="1"/>
  <c r="Q185" i="1" s="1"/>
  <c r="N16" i="1"/>
  <c r="U16" i="1" s="1"/>
  <c r="O171" i="1"/>
  <c r="S171" i="1" s="1"/>
  <c r="O222" i="1"/>
  <c r="S222" i="1" s="1"/>
  <c r="O192" i="1"/>
  <c r="R192" i="1" s="1"/>
  <c r="N153" i="1"/>
  <c r="U153" i="1" s="1"/>
  <c r="O288" i="1"/>
  <c r="S288" i="1" s="1"/>
  <c r="N277" i="1"/>
  <c r="U277" i="1" s="1"/>
  <c r="O211" i="1"/>
  <c r="S211" i="1" s="1"/>
  <c r="N187" i="1"/>
  <c r="U187" i="1" s="1"/>
  <c r="N254" i="1"/>
  <c r="U254" i="1" s="1"/>
  <c r="P85" i="1"/>
  <c r="Q85" i="1" s="1"/>
  <c r="P210" i="1"/>
  <c r="Q210" i="1" s="1"/>
  <c r="O266" i="1"/>
  <c r="S266" i="1" s="1"/>
  <c r="O216" i="1"/>
  <c r="S216" i="1" s="1"/>
  <c r="N282" i="1"/>
  <c r="U282" i="1" s="1"/>
  <c r="O302" i="1"/>
  <c r="R302" i="1" s="1"/>
  <c r="N96" i="1"/>
  <c r="U96" i="1" s="1"/>
  <c r="P306" i="1"/>
  <c r="Q306" i="1" s="1"/>
  <c r="P123" i="1"/>
  <c r="Q123" i="1" s="1"/>
  <c r="N165" i="1"/>
  <c r="U165" i="1" s="1"/>
  <c r="P295" i="1"/>
  <c r="Q295" i="1" s="1"/>
  <c r="N283" i="1"/>
  <c r="U283" i="1" s="1"/>
  <c r="N44" i="1"/>
  <c r="U44" i="1" s="1"/>
  <c r="O140" i="1"/>
  <c r="S140" i="1" s="1"/>
  <c r="O263" i="1"/>
  <c r="S263" i="1" s="1"/>
  <c r="P28" i="1"/>
  <c r="Q28" i="1" s="1"/>
  <c r="O172" i="1"/>
  <c r="S172" i="1" s="1"/>
  <c r="P167" i="1"/>
  <c r="Q167" i="1" s="1"/>
  <c r="O208" i="1"/>
  <c r="S208" i="1" s="1"/>
  <c r="O166" i="1"/>
  <c r="R166" i="1" s="1"/>
  <c r="N125" i="1"/>
  <c r="U125" i="1" s="1"/>
  <c r="O233" i="1"/>
  <c r="S233" i="1" s="1"/>
  <c r="P330" i="1"/>
  <c r="Q330" i="1" s="1"/>
  <c r="P101" i="1"/>
  <c r="Q101" i="1" s="1"/>
  <c r="P313" i="1"/>
  <c r="Q313" i="1" s="1"/>
  <c r="P178" i="1"/>
  <c r="Q178" i="1" s="1"/>
  <c r="N204" i="1"/>
  <c r="U204" i="1" s="1"/>
  <c r="O10" i="1"/>
  <c r="R10" i="1" s="1"/>
  <c r="P214" i="1"/>
  <c r="Q214" i="1" s="1"/>
  <c r="O319" i="1"/>
  <c r="S319" i="1" s="1"/>
  <c r="P34" i="1"/>
  <c r="Q34" i="1" s="1"/>
  <c r="N224" i="1"/>
  <c r="U224" i="1" s="1"/>
  <c r="O168" i="1"/>
  <c r="S168" i="1" s="1"/>
  <c r="N121" i="1"/>
  <c r="U121" i="1" s="1"/>
  <c r="O191" i="1"/>
  <c r="S191" i="1" s="1"/>
  <c r="N186" i="1"/>
  <c r="U186" i="1" s="1"/>
  <c r="P265" i="1"/>
  <c r="Q265" i="1" s="1"/>
  <c r="N104" i="1"/>
  <c r="U104" i="1" s="1"/>
  <c r="O124" i="1"/>
  <c r="S124" i="1" s="1"/>
  <c r="O290" i="1"/>
  <c r="R290" i="1" s="1"/>
  <c r="P21" i="1"/>
  <c r="Q21" i="1" s="1"/>
  <c r="P227" i="1"/>
  <c r="Q227" i="1" s="1"/>
  <c r="O311" i="1"/>
  <c r="R311" i="1" s="1"/>
  <c r="P109" i="1"/>
  <c r="Q109" i="1" s="1"/>
  <c r="N218" i="1"/>
  <c r="U218" i="1" s="1"/>
  <c r="P146" i="1"/>
  <c r="Q146" i="1" s="1"/>
  <c r="N92" i="1"/>
  <c r="U92" i="1" s="1"/>
  <c r="P251" i="1"/>
  <c r="Q251" i="1" s="1"/>
  <c r="N184" i="1"/>
  <c r="U184" i="1" s="1"/>
  <c r="P108" i="1"/>
  <c r="Q108" i="1" s="1"/>
  <c r="P288" i="1"/>
  <c r="Q288" i="1" s="1"/>
  <c r="O44" i="1"/>
  <c r="S44" i="1" s="1"/>
  <c r="N284" i="1"/>
  <c r="U284" i="1" s="1"/>
  <c r="P248" i="1"/>
  <c r="Q248" i="1" s="1"/>
  <c r="P314" i="1"/>
  <c r="Q314" i="1" s="1"/>
  <c r="P244" i="1"/>
  <c r="Q244" i="1" s="1"/>
  <c r="P299" i="1"/>
  <c r="Q299" i="1" s="1"/>
  <c r="N131" i="1"/>
  <c r="U131" i="1" s="1"/>
  <c r="O320" i="1"/>
  <c r="R320" i="1" s="1"/>
  <c r="N201" i="1"/>
  <c r="U201" i="1" s="1"/>
  <c r="O197" i="1"/>
  <c r="R197" i="1" s="1"/>
  <c r="O39" i="1"/>
  <c r="R39" i="1" s="1"/>
  <c r="P183" i="1"/>
  <c r="Q183" i="1" s="1"/>
  <c r="N244" i="1"/>
  <c r="U244" i="1" s="1"/>
  <c r="O9" i="1"/>
  <c r="R9" i="1" s="1"/>
  <c r="O112" i="1"/>
  <c r="S112" i="1" s="1"/>
  <c r="P296" i="1"/>
  <c r="Q296" i="1" s="1"/>
  <c r="N316" i="1"/>
  <c r="U316" i="1" s="1"/>
  <c r="P91" i="1"/>
  <c r="Q91" i="1" s="1"/>
  <c r="O57" i="1"/>
  <c r="R57" i="1" s="1"/>
  <c r="N110" i="1"/>
  <c r="U110" i="1" s="1"/>
  <c r="O129" i="1"/>
  <c r="S129" i="1" s="1"/>
  <c r="N78" i="1"/>
  <c r="U78" i="1" s="1"/>
  <c r="P189" i="1"/>
  <c r="Q189" i="1" s="1"/>
  <c r="O267" i="1"/>
  <c r="R267" i="1" s="1"/>
  <c r="O22" i="1"/>
  <c r="R22" i="1" s="1"/>
  <c r="O231" i="1"/>
  <c r="S231" i="1" s="1"/>
  <c r="P162" i="1"/>
  <c r="Q162" i="1" s="1"/>
  <c r="N188" i="1"/>
  <c r="U188" i="1" s="1"/>
  <c r="N15" i="1"/>
  <c r="U15" i="1" s="1"/>
  <c r="O132" i="1"/>
  <c r="S132" i="1" s="1"/>
  <c r="O255" i="1"/>
  <c r="S255" i="1" s="1"/>
  <c r="O11" i="1"/>
  <c r="R11" i="1" s="1"/>
  <c r="O218" i="1"/>
  <c r="S218" i="1" s="1"/>
  <c r="O143" i="1"/>
  <c r="S143" i="1" s="1"/>
  <c r="N161" i="1"/>
  <c r="U161" i="1" s="1"/>
  <c r="P142" i="1"/>
  <c r="Q142" i="1" s="1"/>
  <c r="N143" i="1"/>
  <c r="U143" i="1" s="1"/>
  <c r="P226" i="1"/>
  <c r="Q226" i="1" s="1"/>
  <c r="O323" i="1"/>
  <c r="R323" i="1" s="1"/>
  <c r="O163" i="1"/>
  <c r="S163" i="1" s="1"/>
  <c r="P255" i="1"/>
  <c r="Q255" i="1" s="1"/>
  <c r="P9" i="1"/>
  <c r="Q9" i="1" s="1"/>
  <c r="P208" i="1"/>
  <c r="Q208" i="1" s="1"/>
  <c r="O247" i="1"/>
  <c r="R247" i="1" s="1"/>
  <c r="N46" i="1"/>
  <c r="U46" i="1" s="1"/>
  <c r="P139" i="1"/>
  <c r="Q139" i="1" s="1"/>
  <c r="P122" i="1"/>
  <c r="Q122" i="1" s="1"/>
  <c r="N305" i="1"/>
  <c r="U305" i="1" s="1"/>
  <c r="O200" i="1"/>
  <c r="R200" i="1" s="1"/>
  <c r="N191" i="1"/>
  <c r="U191" i="1" s="1"/>
  <c r="P117" i="1"/>
  <c r="Q117" i="1" s="1"/>
  <c r="O217" i="1"/>
  <c r="R217" i="1" s="1"/>
  <c r="P51" i="1"/>
  <c r="Q51" i="1" s="1"/>
  <c r="N50" i="1"/>
  <c r="U50" i="1" s="1"/>
  <c r="N306" i="1"/>
  <c r="U306" i="1" s="1"/>
  <c r="O201" i="1"/>
  <c r="S201" i="1" s="1"/>
  <c r="N288" i="1"/>
  <c r="U288" i="1" s="1"/>
  <c r="N136" i="1"/>
  <c r="U136" i="1" s="1"/>
  <c r="P24" i="1"/>
  <c r="Q24" i="1" s="1"/>
  <c r="N8" i="1"/>
  <c r="U8" i="1" s="1"/>
  <c r="O314" i="1"/>
  <c r="S314" i="1" s="1"/>
  <c r="P115" i="1"/>
  <c r="Q115" i="1" s="1"/>
  <c r="N215" i="1"/>
  <c r="U215" i="1" s="1"/>
  <c r="O326" i="1"/>
  <c r="S326" i="1" s="1"/>
  <c r="N273" i="1"/>
  <c r="U273" i="1" s="1"/>
  <c r="N65" i="1"/>
  <c r="U65" i="1" s="1"/>
  <c r="P124" i="1"/>
  <c r="Q124" i="1" s="1"/>
  <c r="N45" i="1"/>
  <c r="U45" i="1" s="1"/>
  <c r="P64" i="1"/>
  <c r="Q64" i="1" s="1"/>
  <c r="O137" i="1"/>
  <c r="S137" i="1" s="1"/>
  <c r="N64" i="1"/>
  <c r="U64" i="1" s="1"/>
  <c r="P235" i="1"/>
  <c r="Q235" i="1" s="1"/>
  <c r="O283" i="1"/>
  <c r="S283" i="1" s="1"/>
  <c r="N298" i="1"/>
  <c r="U298" i="1" s="1"/>
  <c r="P278" i="1"/>
  <c r="Q278" i="1" s="1"/>
  <c r="N276" i="1"/>
  <c r="U276" i="1" s="1"/>
  <c r="N223" i="1"/>
  <c r="U223" i="1" s="1"/>
  <c r="P206" i="1"/>
  <c r="Q206" i="1" s="1"/>
  <c r="P77" i="1"/>
  <c r="Q77" i="1" s="1"/>
  <c r="P15" i="1"/>
  <c r="Q15" i="1" s="1"/>
  <c r="P205" i="1"/>
  <c r="Q205" i="1" s="1"/>
  <c r="P82" i="1"/>
  <c r="Q82" i="1" s="1"/>
  <c r="N139" i="1"/>
  <c r="U139" i="1" s="1"/>
  <c r="N79" i="1"/>
  <c r="U79" i="1" s="1"/>
  <c r="N118" i="1"/>
  <c r="U118" i="1" s="1"/>
  <c r="P75" i="1"/>
  <c r="Q75" i="1" s="1"/>
  <c r="P252" i="1"/>
  <c r="Q252" i="1" s="1"/>
  <c r="P238" i="1"/>
  <c r="Q238" i="1" s="1"/>
  <c r="P13" i="1"/>
  <c r="Q13" i="1" s="1"/>
  <c r="O131" i="1"/>
  <c r="S131" i="1" s="1"/>
  <c r="N58" i="1"/>
  <c r="U58" i="1" s="1"/>
  <c r="O184" i="1"/>
  <c r="R184" i="1" s="1"/>
  <c r="P250" i="1"/>
  <c r="Q250" i="1" s="1"/>
  <c r="O276" i="1"/>
  <c r="S276" i="1" s="1"/>
  <c r="O15" i="1"/>
  <c r="R15" i="1" s="1"/>
  <c r="O123" i="1"/>
  <c r="R123" i="1" s="1"/>
  <c r="N162" i="1"/>
  <c r="U162" i="1" s="1"/>
  <c r="N230" i="1"/>
  <c r="U230" i="1" s="1"/>
  <c r="P203" i="1"/>
  <c r="Q203" i="1" s="1"/>
  <c r="P67" i="1"/>
  <c r="Q67" i="1" s="1"/>
  <c r="P327" i="1"/>
  <c r="Q327" i="1" s="1"/>
  <c r="P160" i="1"/>
  <c r="Q160" i="1" s="1"/>
  <c r="P149" i="1"/>
  <c r="Q149" i="1" s="1"/>
  <c r="O308" i="1"/>
  <c r="S308" i="1" s="1"/>
  <c r="O95" i="1"/>
  <c r="S95" i="1" s="1"/>
  <c r="O162" i="1"/>
  <c r="O291" i="1"/>
  <c r="R291" i="1" s="1"/>
  <c r="N145" i="1"/>
  <c r="U145" i="1" s="1"/>
  <c r="N135" i="1"/>
  <c r="U135" i="1" s="1"/>
  <c r="P107" i="1"/>
  <c r="Q107" i="1" s="1"/>
  <c r="O89" i="1"/>
  <c r="R89" i="1" s="1"/>
  <c r="P104" i="1"/>
  <c r="Q104" i="1" s="1"/>
  <c r="O154" i="1"/>
  <c r="S154" i="1" s="1"/>
  <c r="N107" i="1"/>
  <c r="U107" i="1" s="1"/>
  <c r="P289" i="1"/>
  <c r="Q289" i="1" s="1"/>
  <c r="O72" i="1"/>
  <c r="R72" i="1" s="1"/>
  <c r="N241" i="1"/>
  <c r="U241" i="1" s="1"/>
  <c r="O97" i="1"/>
  <c r="S97" i="1" s="1"/>
  <c r="P92" i="1"/>
  <c r="Q92" i="1" s="1"/>
  <c r="N198" i="1"/>
  <c r="U198" i="1" s="1"/>
  <c r="O325" i="1"/>
  <c r="R325" i="1" s="1"/>
  <c r="O264" i="1"/>
  <c r="S264" i="1" s="1"/>
  <c r="P292" i="1"/>
  <c r="Q292" i="1" s="1"/>
  <c r="P308" i="1"/>
  <c r="Q308" i="1" s="1"/>
  <c r="P89" i="1"/>
  <c r="Q89" i="1" s="1"/>
  <c r="N303" i="1"/>
  <c r="U303" i="1" s="1"/>
  <c r="N152" i="1"/>
  <c r="U152" i="1" s="1"/>
  <c r="N320" i="1"/>
  <c r="U320" i="1" s="1"/>
  <c r="N129" i="1"/>
  <c r="U129" i="1" s="1"/>
  <c r="N239" i="1"/>
  <c r="U239" i="1" s="1"/>
  <c r="O26" i="1"/>
  <c r="S26" i="1" s="1"/>
  <c r="P63" i="1"/>
  <c r="Q63" i="1" s="1"/>
  <c r="N11" i="1"/>
  <c r="U11" i="1" s="1"/>
  <c r="O228" i="1"/>
  <c r="S228" i="1" s="1"/>
  <c r="N123" i="1"/>
  <c r="U123" i="1" s="1"/>
  <c r="P60" i="1"/>
  <c r="Q60" i="1" s="1"/>
  <c r="O28" i="1"/>
  <c r="R28" i="1" s="1"/>
  <c r="N280" i="1"/>
  <c r="U280" i="1" s="1"/>
  <c r="N72" i="1"/>
  <c r="U72" i="1" s="1"/>
  <c r="N149" i="1"/>
  <c r="U149" i="1" s="1"/>
  <c r="O170" i="1"/>
  <c r="R170" i="1" s="1"/>
  <c r="P217" i="1"/>
  <c r="Q217" i="1" s="1"/>
  <c r="O250" i="1"/>
  <c r="S250" i="1" s="1"/>
  <c r="N237" i="1"/>
  <c r="U237" i="1" s="1"/>
  <c r="P186" i="1"/>
  <c r="Q186" i="1" s="1"/>
  <c r="N294" i="1"/>
  <c r="U294" i="1" s="1"/>
  <c r="N60" i="1"/>
  <c r="U60" i="1" s="1"/>
  <c r="N214" i="1"/>
  <c r="U214" i="1" s="1"/>
  <c r="P135" i="1"/>
  <c r="Q135" i="1" s="1"/>
  <c r="N27" i="1"/>
  <c r="U27" i="1" s="1"/>
  <c r="O175" i="1"/>
  <c r="R175" i="1" s="1"/>
  <c r="N181" i="1"/>
  <c r="U181" i="1" s="1"/>
  <c r="O71" i="1"/>
  <c r="S71" i="1" s="1"/>
  <c r="O199" i="1"/>
  <c r="R199" i="1" s="1"/>
  <c r="O295" i="1"/>
  <c r="R295" i="1" s="1"/>
  <c r="P36" i="1"/>
  <c r="Q36" i="1" s="1"/>
  <c r="N114" i="1"/>
  <c r="U114" i="1" s="1"/>
  <c r="O160" i="1"/>
  <c r="S160" i="1" s="1"/>
  <c r="P287" i="1"/>
  <c r="Q287" i="1" s="1"/>
  <c r="P242" i="1"/>
  <c r="Q242" i="1" s="1"/>
  <c r="N157" i="1"/>
  <c r="U157" i="1" s="1"/>
  <c r="P259" i="1"/>
  <c r="Q259" i="1" s="1"/>
  <c r="O94" i="1"/>
  <c r="S94" i="1" s="1"/>
  <c r="O159" i="1"/>
  <c r="S159" i="1" s="1"/>
  <c r="P320" i="1"/>
  <c r="Q320" i="1" s="1"/>
  <c r="O179" i="1"/>
  <c r="S179" i="1" s="1"/>
  <c r="P151" i="1"/>
  <c r="Q151" i="1" s="1"/>
  <c r="N49" i="1"/>
  <c r="U49" i="1" s="1"/>
  <c r="P164" i="1"/>
  <c r="Q164" i="1" s="1"/>
  <c r="P256" i="1"/>
  <c r="Q256" i="1" s="1"/>
  <c r="P137" i="1"/>
  <c r="Q137" i="1" s="1"/>
  <c r="O234" i="1"/>
  <c r="S234" i="1" s="1"/>
  <c r="O275" i="1"/>
  <c r="S275" i="1" s="1"/>
  <c r="O121" i="1"/>
  <c r="R121" i="1" s="1"/>
  <c r="N42" i="1"/>
  <c r="U42" i="1" s="1"/>
  <c r="O210" i="1"/>
  <c r="S210" i="1" s="1"/>
  <c r="P243" i="1"/>
  <c r="Q243" i="1" s="1"/>
  <c r="O215" i="1"/>
  <c r="S215" i="1" s="1"/>
  <c r="O227" i="1"/>
  <c r="S227" i="1" s="1"/>
  <c r="O47" i="1"/>
  <c r="S47" i="1" s="1"/>
  <c r="P62" i="1"/>
  <c r="Q62" i="1" s="1"/>
  <c r="P59" i="1"/>
  <c r="Q59" i="1" s="1"/>
  <c r="O100" i="1"/>
  <c r="S100" i="1" s="1"/>
  <c r="O84" i="1"/>
  <c r="S84" i="1" s="1"/>
  <c r="P273" i="1"/>
  <c r="Q273" i="1" s="1"/>
  <c r="N119" i="1"/>
  <c r="U119" i="1" s="1"/>
  <c r="P305" i="1"/>
  <c r="Q305" i="1" s="1"/>
  <c r="N82" i="1"/>
  <c r="U82" i="1" s="1"/>
  <c r="P46" i="1"/>
  <c r="Q46" i="1" s="1"/>
  <c r="N301" i="1"/>
  <c r="U301" i="1" s="1"/>
  <c r="N57" i="1"/>
  <c r="U57" i="1" s="1"/>
  <c r="P197" i="1"/>
  <c r="Q197" i="1" s="1"/>
  <c r="O299" i="1"/>
  <c r="S299" i="1" s="1"/>
  <c r="N35" i="1"/>
  <c r="U35" i="1" s="1"/>
  <c r="P187" i="1"/>
  <c r="Q187" i="1" s="1"/>
  <c r="P309" i="1"/>
  <c r="Q309" i="1" s="1"/>
  <c r="N285" i="1"/>
  <c r="U285" i="1" s="1"/>
  <c r="O272" i="1"/>
  <c r="R272" i="1" s="1"/>
  <c r="O93" i="1"/>
  <c r="S93" i="1" s="1"/>
  <c r="P318" i="1"/>
  <c r="Q318" i="1" s="1"/>
  <c r="P90" i="1"/>
  <c r="Q90" i="1" s="1"/>
  <c r="N206" i="1"/>
  <c r="U206" i="1" s="1"/>
  <c r="P87" i="1"/>
  <c r="Q87" i="1" s="1"/>
  <c r="O173" i="1"/>
  <c r="S173" i="1" s="1"/>
  <c r="N270" i="1"/>
  <c r="U270" i="1" s="1"/>
  <c r="O91" i="1"/>
  <c r="S91" i="1" s="1"/>
  <c r="N115" i="1"/>
  <c r="U115" i="1" s="1"/>
  <c r="N33" i="1"/>
  <c r="U33" i="1" s="1"/>
  <c r="O261" i="1"/>
  <c r="P73" i="1"/>
  <c r="Q73" i="1" s="1"/>
  <c r="P163" i="1"/>
  <c r="Q163" i="1" s="1"/>
  <c r="O76" i="1"/>
  <c r="S76" i="1" s="1"/>
  <c r="N229" i="1"/>
  <c r="U229" i="1" s="1"/>
  <c r="P174" i="1"/>
  <c r="Q174" i="1" s="1"/>
  <c r="N296" i="1"/>
  <c r="U296" i="1" s="1"/>
  <c r="N90" i="1"/>
  <c r="U90" i="1" s="1"/>
  <c r="O258" i="1"/>
  <c r="R258" i="1" s="1"/>
  <c r="O13" i="1"/>
  <c r="S13" i="1" s="1"/>
  <c r="B58" i="1"/>
  <c r="N53" i="1"/>
  <c r="U53" i="1" s="1"/>
  <c r="P33" i="1"/>
  <c r="Q33" i="1" s="1"/>
  <c r="N102" i="1"/>
  <c r="U102" i="1" s="1"/>
  <c r="O118" i="1"/>
  <c r="R118" i="1" s="1"/>
  <c r="N54" i="1"/>
  <c r="U54" i="1" s="1"/>
  <c r="O99" i="1"/>
  <c r="S99" i="1" s="1"/>
  <c r="N252" i="1"/>
  <c r="U252" i="1" s="1"/>
  <c r="N36" i="1"/>
  <c r="U36" i="1" s="1"/>
  <c r="O29" i="1"/>
  <c r="R29" i="1" s="1"/>
  <c r="P184" i="1"/>
  <c r="Q184" i="1" s="1"/>
  <c r="N197" i="1"/>
  <c r="U197" i="1" s="1"/>
  <c r="O318" i="1"/>
  <c r="S318" i="1" s="1"/>
  <c r="O33" i="1"/>
  <c r="R33" i="1" s="1"/>
  <c r="P23" i="1"/>
  <c r="Q23" i="1" s="1"/>
  <c r="O156" i="1"/>
  <c r="S156" i="1" s="1"/>
  <c r="N236" i="1"/>
  <c r="U236" i="1" s="1"/>
  <c r="P141" i="1"/>
  <c r="Q141" i="1" s="1"/>
  <c r="O232" i="1"/>
  <c r="R232" i="1" s="1"/>
  <c r="N232" i="1"/>
  <c r="U232" i="1" s="1"/>
  <c r="N203" i="1"/>
  <c r="U203" i="1" s="1"/>
  <c r="P54" i="1"/>
  <c r="Q54" i="1" s="1"/>
  <c r="O106" i="1"/>
  <c r="S106" i="1" s="1"/>
  <c r="O287" i="1"/>
  <c r="R287" i="1" s="1"/>
  <c r="O183" i="1"/>
  <c r="O164" i="1"/>
  <c r="S164" i="1" s="1"/>
  <c r="N225" i="1"/>
  <c r="U225" i="1" s="1"/>
  <c r="P19" i="1"/>
  <c r="Q19" i="1" s="1"/>
  <c r="N140" i="1"/>
  <c r="U140" i="1" s="1"/>
  <c r="N41" i="1"/>
  <c r="U41" i="1" s="1"/>
  <c r="N261" i="1"/>
  <c r="U261" i="1" s="1"/>
  <c r="O285" i="1"/>
  <c r="S285" i="1" s="1"/>
  <c r="P221" i="1"/>
  <c r="Q221" i="1" s="1"/>
  <c r="O78" i="1"/>
  <c r="N167" i="1"/>
  <c r="U167" i="1" s="1"/>
  <c r="P300" i="1"/>
  <c r="Q300" i="1" s="1"/>
  <c r="P260" i="1"/>
  <c r="Q260" i="1" s="1"/>
  <c r="O62" i="1"/>
  <c r="R62" i="1" s="1"/>
  <c r="N166" i="1"/>
  <c r="U166" i="1" s="1"/>
  <c r="N127" i="1"/>
  <c r="U127" i="1" s="1"/>
  <c r="N91" i="1"/>
  <c r="U91" i="1" s="1"/>
  <c r="O224" i="1"/>
  <c r="S224" i="1" s="1"/>
  <c r="O220" i="1"/>
  <c r="N80" i="1"/>
  <c r="U80" i="1" s="1"/>
  <c r="P116" i="1"/>
  <c r="Q116" i="1" s="1"/>
  <c r="N171" i="1"/>
  <c r="U171" i="1" s="1"/>
  <c r="P170" i="1"/>
  <c r="Q170" i="1" s="1"/>
  <c r="N134" i="1"/>
  <c r="U134" i="1" s="1"/>
  <c r="O262" i="1"/>
  <c r="S262" i="1" s="1"/>
  <c r="P27" i="1"/>
  <c r="Q27" i="1" s="1"/>
  <c r="O317" i="1"/>
  <c r="R317" i="1" s="1"/>
  <c r="O25" i="1"/>
  <c r="R25" i="1" s="1"/>
  <c r="P158" i="1"/>
  <c r="Q158" i="1" s="1"/>
  <c r="O280" i="1"/>
  <c r="S280" i="1" s="1"/>
  <c r="N269" i="1"/>
  <c r="U269" i="1" s="1"/>
  <c r="P218" i="1"/>
  <c r="Q218" i="1" s="1"/>
  <c r="N180" i="1"/>
  <c r="U180" i="1" s="1"/>
  <c r="O254" i="1"/>
  <c r="S254" i="1" s="1"/>
  <c r="P10" i="1"/>
  <c r="Q10" i="1" s="1"/>
  <c r="O309" i="1"/>
  <c r="S309" i="1" s="1"/>
  <c r="O90" i="1"/>
  <c r="S90" i="1" s="1"/>
  <c r="O127" i="1"/>
  <c r="R127" i="1" s="1"/>
  <c r="O213" i="1"/>
  <c r="R213" i="1" s="1"/>
  <c r="P188" i="1"/>
  <c r="Q188" i="1" s="1"/>
  <c r="N235" i="1"/>
  <c r="U235" i="1" s="1"/>
  <c r="O321" i="1"/>
  <c r="R321" i="1" s="1"/>
  <c r="O20" i="1"/>
  <c r="S20" i="1" s="1"/>
  <c r="O153" i="1"/>
  <c r="S153" i="1" s="1"/>
  <c r="O101" i="1"/>
  <c r="S101" i="1" s="1"/>
  <c r="N85" i="1"/>
  <c r="U85" i="1" s="1"/>
  <c r="N76" i="1"/>
  <c r="U76" i="1" s="1"/>
  <c r="P268" i="1"/>
  <c r="Q268" i="1" s="1"/>
  <c r="O34" i="1"/>
  <c r="S34" i="1" s="1"/>
  <c r="O274" i="1"/>
  <c r="S274" i="1" s="1"/>
  <c r="N88" i="1"/>
  <c r="U88" i="1" s="1"/>
  <c r="P293" i="1"/>
  <c r="Q293" i="1" s="1"/>
  <c r="N106" i="1"/>
  <c r="U106" i="1" s="1"/>
  <c r="O158" i="1"/>
  <c r="S158" i="1" s="1"/>
  <c r="N295" i="1"/>
  <c r="U295" i="1" s="1"/>
  <c r="P179" i="1"/>
  <c r="Q179" i="1" s="1"/>
  <c r="P224" i="1"/>
  <c r="Q224" i="1" s="1"/>
  <c r="O322" i="1"/>
  <c r="S322" i="1" s="1"/>
  <c r="O186" i="1"/>
  <c r="S186" i="1" s="1"/>
  <c r="P316" i="1"/>
  <c r="Q316" i="1" s="1"/>
  <c r="O265" i="1"/>
  <c r="N302" i="1"/>
  <c r="U302" i="1" s="1"/>
  <c r="P56" i="1"/>
  <c r="Q56" i="1" s="1"/>
  <c r="P223" i="1"/>
  <c r="Q223" i="1" s="1"/>
  <c r="N243" i="1"/>
  <c r="U243" i="1" s="1"/>
  <c r="P105" i="1"/>
  <c r="Q105" i="1" s="1"/>
  <c r="P110" i="1"/>
  <c r="Q110" i="1" s="1"/>
  <c r="N315" i="1"/>
  <c r="U315" i="1" s="1"/>
  <c r="O253" i="1"/>
  <c r="S253" i="1" s="1"/>
  <c r="P145" i="1"/>
  <c r="Q145" i="1" s="1"/>
  <c r="N248" i="1"/>
  <c r="U248" i="1" s="1"/>
  <c r="P286" i="1"/>
  <c r="Q286" i="1" s="1"/>
  <c r="N73" i="1"/>
  <c r="U73" i="1" s="1"/>
  <c r="P147" i="1"/>
  <c r="Q147" i="1" s="1"/>
  <c r="N100" i="1"/>
  <c r="U100" i="1" s="1"/>
  <c r="P290" i="1"/>
  <c r="Q290" i="1" s="1"/>
  <c r="N307" i="1"/>
  <c r="U307" i="1" s="1"/>
  <c r="P324" i="1"/>
  <c r="Q324" i="1" s="1"/>
  <c r="N23" i="1"/>
  <c r="U23" i="1" s="1"/>
  <c r="N174" i="1"/>
  <c r="U174" i="1" s="1"/>
  <c r="O102" i="1"/>
  <c r="S102" i="1" s="1"/>
  <c r="P196" i="1"/>
  <c r="Q196" i="1" s="1"/>
  <c r="N84" i="1"/>
  <c r="U84" i="1" s="1"/>
  <c r="O257" i="1"/>
  <c r="R257" i="1" s="1"/>
  <c r="N318" i="1"/>
  <c r="U318" i="1" s="1"/>
  <c r="B60" i="1"/>
  <c r="N147" i="1"/>
  <c r="U147" i="1" s="1"/>
  <c r="O114" i="1"/>
  <c r="S114" i="1" s="1"/>
  <c r="N75" i="1"/>
  <c r="U75" i="1" s="1"/>
  <c r="P258" i="1"/>
  <c r="Q258" i="1" s="1"/>
  <c r="P130" i="1"/>
  <c r="Q130" i="1" s="1"/>
  <c r="O324" i="1"/>
  <c r="S324" i="1" s="1"/>
  <c r="O239" i="1"/>
  <c r="S239" i="1" s="1"/>
  <c r="P304" i="1"/>
  <c r="Q304" i="1" s="1"/>
  <c r="O92" i="1"/>
  <c r="S92" i="1" s="1"/>
  <c r="P25" i="1"/>
  <c r="Q25" i="1" s="1"/>
  <c r="P212" i="1"/>
  <c r="Q212" i="1" s="1"/>
  <c r="O284" i="1"/>
  <c r="S284" i="1" s="1"/>
  <c r="O117" i="1"/>
  <c r="O83" i="1"/>
  <c r="R83" i="1" s="1"/>
  <c r="P171" i="1"/>
  <c r="Q171" i="1" s="1"/>
  <c r="N19" i="1"/>
  <c r="U19" i="1" s="1"/>
  <c r="P319" i="1"/>
  <c r="Q319" i="1" s="1"/>
  <c r="O111" i="1"/>
  <c r="O194" i="1"/>
  <c r="N221" i="1"/>
  <c r="U221" i="1" s="1"/>
  <c r="N287" i="1"/>
  <c r="U287" i="1" s="1"/>
  <c r="N34" i="1"/>
  <c r="U34" i="1" s="1"/>
  <c r="N31" i="1"/>
  <c r="U31" i="1" s="1"/>
  <c r="P219" i="1"/>
  <c r="Q219" i="1" s="1"/>
  <c r="N251" i="1"/>
  <c r="U251" i="1" s="1"/>
  <c r="P103" i="1"/>
  <c r="Q103" i="1" s="1"/>
  <c r="P280" i="1"/>
  <c r="Q280" i="1" s="1"/>
  <c r="P20" i="1"/>
  <c r="Q20" i="1" s="1"/>
  <c r="O240" i="1"/>
  <c r="R240" i="1" s="1"/>
  <c r="O282" i="1"/>
  <c r="S282" i="1" s="1"/>
  <c r="O279" i="1"/>
  <c r="R279" i="1" s="1"/>
  <c r="O82" i="1"/>
  <c r="S82" i="1" s="1"/>
  <c r="P74" i="1"/>
  <c r="Q74" i="1" s="1"/>
  <c r="O214" i="1"/>
  <c r="S214" i="1" s="1"/>
  <c r="O88" i="1"/>
  <c r="R88" i="1" s="1"/>
  <c r="N89" i="1"/>
  <c r="U89" i="1" s="1"/>
  <c r="O147" i="1"/>
  <c r="R147" i="1" s="1"/>
  <c r="O56" i="1"/>
  <c r="S56" i="1" s="1"/>
  <c r="P22" i="1"/>
  <c r="Q22" i="1" s="1"/>
  <c r="O126" i="1"/>
  <c r="S126" i="1" s="1"/>
  <c r="N226" i="1"/>
  <c r="U226" i="1" s="1"/>
  <c r="N196" i="1"/>
  <c r="U196" i="1" s="1"/>
  <c r="O241" i="1"/>
  <c r="S241" i="1" s="1"/>
  <c r="O81" i="1"/>
  <c r="N228" i="1"/>
  <c r="U228" i="1" s="1"/>
  <c r="P100" i="1"/>
  <c r="Q100" i="1" s="1"/>
  <c r="P310" i="1"/>
  <c r="Q310" i="1" s="1"/>
  <c r="O297" i="1"/>
  <c r="R297" i="1" s="1"/>
  <c r="O328" i="1"/>
  <c r="N20" i="1"/>
  <c r="U20" i="1" s="1"/>
  <c r="O63" i="1"/>
  <c r="R63" i="1" s="1"/>
  <c r="P322" i="1"/>
  <c r="Q322" i="1" s="1"/>
  <c r="P169" i="1"/>
  <c r="Q169" i="1" s="1"/>
  <c r="P106" i="1"/>
  <c r="Q106" i="1" s="1"/>
  <c r="P138" i="1"/>
  <c r="Q138" i="1" s="1"/>
  <c r="P180" i="1"/>
  <c r="Q180" i="1" s="1"/>
  <c r="O130" i="1"/>
  <c r="N317" i="1"/>
  <c r="U317" i="1" s="1"/>
  <c r="N199" i="1"/>
  <c r="U199" i="1" s="1"/>
  <c r="O64" i="1"/>
  <c r="R64" i="1" s="1"/>
  <c r="P127" i="1"/>
  <c r="Q127" i="1" s="1"/>
  <c r="N233" i="1"/>
  <c r="U233" i="1" s="1"/>
  <c r="N117" i="1"/>
  <c r="U117" i="1" s="1"/>
  <c r="P173" i="1"/>
  <c r="Q173" i="1" s="1"/>
  <c r="N183" i="1"/>
  <c r="U183" i="1" s="1"/>
  <c r="N69" i="1"/>
  <c r="U69" i="1" s="1"/>
  <c r="O203" i="1"/>
  <c r="S203" i="1" s="1"/>
  <c r="P323" i="1"/>
  <c r="Q323" i="1" s="1"/>
  <c r="P40" i="1"/>
  <c r="Q40" i="1" s="1"/>
  <c r="P155" i="1"/>
  <c r="Q155" i="1" s="1"/>
  <c r="N83" i="1"/>
  <c r="U83" i="1" s="1"/>
  <c r="O235" i="1"/>
  <c r="S235" i="1" s="1"/>
  <c r="O8" i="1"/>
  <c r="P61" i="1"/>
  <c r="Q61" i="1" s="1"/>
  <c r="P125" i="1"/>
  <c r="Q125" i="1" s="1"/>
  <c r="N263" i="1"/>
  <c r="U263" i="1" s="1"/>
  <c r="P134" i="1"/>
  <c r="Q134" i="1" s="1"/>
  <c r="P257" i="1"/>
  <c r="Q257" i="1" s="1"/>
  <c r="O305" i="1"/>
  <c r="S305" i="1" s="1"/>
  <c r="O27" i="1"/>
  <c r="S27" i="1" s="1"/>
  <c r="N98" i="1"/>
  <c r="U98" i="1" s="1"/>
  <c r="O77" i="1"/>
  <c r="O86" i="1"/>
  <c r="P279" i="1"/>
  <c r="Q279" i="1" s="1"/>
  <c r="N126" i="1"/>
  <c r="U126" i="1" s="1"/>
  <c r="P172" i="1"/>
  <c r="Q172" i="1" s="1"/>
  <c r="O230" i="1"/>
  <c r="S230" i="1" s="1"/>
  <c r="P315" i="1"/>
  <c r="Q315" i="1" s="1"/>
  <c r="P263" i="1"/>
  <c r="Q263" i="1" s="1"/>
  <c r="N101" i="1"/>
  <c r="U101" i="1" s="1"/>
  <c r="P35" i="1"/>
  <c r="Q35" i="1" s="1"/>
  <c r="O146" i="1"/>
  <c r="P81" i="1"/>
  <c r="Q81" i="1" s="1"/>
  <c r="N132" i="1"/>
  <c r="U132" i="1" s="1"/>
  <c r="N30" i="1"/>
  <c r="U30" i="1" s="1"/>
  <c r="N182" i="1"/>
  <c r="U182" i="1" s="1"/>
  <c r="P176" i="1"/>
  <c r="Q176" i="1" s="1"/>
  <c r="O115" i="1"/>
  <c r="S115" i="1" s="1"/>
  <c r="O116" i="1"/>
  <c r="S116" i="1" s="1"/>
  <c r="P154" i="1"/>
  <c r="Q154" i="1" s="1"/>
  <c r="O138" i="1"/>
  <c r="S138" i="1" s="1"/>
  <c r="N322" i="1"/>
  <c r="U322" i="1" s="1"/>
  <c r="O55" i="1"/>
  <c r="S55" i="1" s="1"/>
  <c r="O98" i="1"/>
  <c r="S98" i="1" s="1"/>
  <c r="P11" i="1"/>
  <c r="Q11" i="1" s="1"/>
  <c r="N77" i="1"/>
  <c r="U77" i="1" s="1"/>
  <c r="P99" i="1"/>
  <c r="Q99" i="1" s="1"/>
  <c r="P133" i="1"/>
  <c r="Q133" i="1" s="1"/>
  <c r="N272" i="1"/>
  <c r="U272" i="1" s="1"/>
  <c r="O41" i="1"/>
  <c r="S41" i="1" s="1"/>
  <c r="O32" i="1"/>
  <c r="S32" i="1" s="1"/>
  <c r="O104" i="1"/>
  <c r="S104" i="1" s="1"/>
  <c r="O69" i="1"/>
  <c r="R69" i="1" s="1"/>
  <c r="N124" i="1"/>
  <c r="U124" i="1" s="1"/>
  <c r="P88" i="1"/>
  <c r="Q88" i="1" s="1"/>
  <c r="O58" i="1"/>
  <c r="P240" i="1"/>
  <c r="Q240" i="1" s="1"/>
  <c r="P194" i="1"/>
  <c r="Q194" i="1" s="1"/>
  <c r="P191" i="1"/>
  <c r="Q191" i="1" s="1"/>
  <c r="P261" i="1"/>
  <c r="Q261" i="1" s="1"/>
  <c r="N217" i="1"/>
  <c r="U217" i="1" s="1"/>
  <c r="N310" i="1"/>
  <c r="U310" i="1" s="1"/>
  <c r="N194" i="1"/>
  <c r="U194" i="1" s="1"/>
  <c r="N240" i="1"/>
  <c r="U240" i="1" s="1"/>
  <c r="O43" i="1"/>
  <c r="O141" i="1"/>
  <c r="R141" i="1" s="1"/>
  <c r="O74" i="1"/>
  <c r="O316" i="1"/>
  <c r="P112" i="1"/>
  <c r="Q112" i="1" s="1"/>
  <c r="N61" i="1"/>
  <c r="U61" i="1" s="1"/>
  <c r="O202" i="1"/>
  <c r="R202" i="1" s="1"/>
  <c r="O329" i="1"/>
  <c r="N264" i="1"/>
  <c r="U264" i="1" s="1"/>
  <c r="N202" i="1"/>
  <c r="U202" i="1" s="1"/>
  <c r="O307" i="1"/>
  <c r="N326" i="1"/>
  <c r="U326" i="1" s="1"/>
  <c r="O207" i="1"/>
  <c r="S207" i="1" s="1"/>
  <c r="P161" i="1"/>
  <c r="Q161" i="1" s="1"/>
  <c r="P68" i="1"/>
  <c r="Q68" i="1" s="1"/>
  <c r="N14" i="1"/>
  <c r="U14" i="1" s="1"/>
  <c r="P47" i="1"/>
  <c r="Q47" i="1" s="1"/>
  <c r="N26" i="1"/>
  <c r="U26" i="1" s="1"/>
  <c r="O145" i="1"/>
  <c r="S145" i="1" s="1"/>
  <c r="P274" i="1"/>
  <c r="Q274" i="1" s="1"/>
  <c r="P166" i="1"/>
  <c r="Q166" i="1" s="1"/>
  <c r="P198" i="1"/>
  <c r="Q198" i="1" s="1"/>
  <c r="P52" i="1"/>
  <c r="Q52" i="1" s="1"/>
  <c r="P41" i="1"/>
  <c r="Q41" i="1" s="1"/>
  <c r="N21" i="1"/>
  <c r="U21" i="1" s="1"/>
  <c r="P195" i="1"/>
  <c r="Q195" i="1" s="1"/>
  <c r="O182" i="1"/>
  <c r="S182" i="1" s="1"/>
  <c r="O167" i="1"/>
  <c r="S167" i="1" s="1"/>
  <c r="N156" i="1"/>
  <c r="U156" i="1" s="1"/>
  <c r="P86" i="1"/>
  <c r="Q86" i="1" s="1"/>
  <c r="O105" i="1"/>
  <c r="S105" i="1" s="1"/>
  <c r="N245" i="1"/>
  <c r="U245" i="1" s="1"/>
  <c r="N289" i="1"/>
  <c r="U289" i="1" s="1"/>
  <c r="N328" i="1"/>
  <c r="U328" i="1" s="1"/>
  <c r="O246" i="1"/>
  <c r="R246" i="1" s="1"/>
  <c r="N94" i="1"/>
  <c r="U94" i="1" s="1"/>
  <c r="P39" i="1"/>
  <c r="Q39" i="1" s="1"/>
  <c r="N176" i="1"/>
  <c r="U176" i="1" s="1"/>
  <c r="N86" i="1"/>
  <c r="U86" i="1" s="1"/>
  <c r="N212" i="1"/>
  <c r="U212" i="1" s="1"/>
  <c r="N178" i="1"/>
  <c r="U178" i="1" s="1"/>
  <c r="O198" i="1"/>
  <c r="R198" i="1" s="1"/>
  <c r="O243" i="1"/>
  <c r="S243" i="1" s="1"/>
  <c r="O273" i="1"/>
  <c r="R273" i="1" s="1"/>
  <c r="P246" i="1"/>
  <c r="Q246" i="1" s="1"/>
  <c r="O249" i="1"/>
  <c r="S249" i="1" s="1"/>
  <c r="N113" i="1"/>
  <c r="U113" i="1" s="1"/>
  <c r="P307" i="1"/>
  <c r="Q307" i="1" s="1"/>
  <c r="N68" i="1"/>
  <c r="U68" i="1" s="1"/>
  <c r="N216" i="1"/>
  <c r="U216" i="1" s="1"/>
  <c r="P43" i="1"/>
  <c r="Q43" i="1" s="1"/>
  <c r="N150" i="1"/>
  <c r="U150" i="1" s="1"/>
  <c r="P93" i="1"/>
  <c r="Q93" i="1" s="1"/>
  <c r="O155" i="1"/>
  <c r="S155" i="1" s="1"/>
  <c r="O223" i="1"/>
  <c r="R223" i="1" s="1"/>
  <c r="O54" i="1"/>
  <c r="R54" i="1" s="1"/>
  <c r="N93" i="1"/>
  <c r="U93" i="1" s="1"/>
  <c r="O293" i="1"/>
  <c r="R293" i="1" s="1"/>
  <c r="P80" i="1"/>
  <c r="Q80" i="1" s="1"/>
  <c r="O136" i="1"/>
  <c r="S136" i="1" s="1"/>
  <c r="O119" i="1"/>
  <c r="R119" i="1" s="1"/>
  <c r="O313" i="1"/>
  <c r="S313" i="1" s="1"/>
  <c r="N246" i="1"/>
  <c r="U246" i="1" s="1"/>
  <c r="P71" i="1"/>
  <c r="Q71" i="1" s="1"/>
  <c r="O165" i="1"/>
  <c r="S165" i="1" s="1"/>
  <c r="N258" i="1"/>
  <c r="U258" i="1" s="1"/>
  <c r="N321" i="1"/>
  <c r="U321" i="1" s="1"/>
  <c r="N25" i="1"/>
  <c r="U25" i="1" s="1"/>
  <c r="P312" i="1"/>
  <c r="Q312" i="1" s="1"/>
  <c r="P233" i="1"/>
  <c r="Q233" i="1" s="1"/>
  <c r="O152" i="1"/>
  <c r="S152" i="1" s="1"/>
  <c r="N177" i="1"/>
  <c r="U177" i="1" s="1"/>
  <c r="O315" i="1"/>
  <c r="S315" i="1" s="1"/>
  <c r="N112" i="1"/>
  <c r="U112" i="1" s="1"/>
  <c r="O157" i="1"/>
  <c r="R157" i="1" s="1"/>
  <c r="N40" i="1"/>
  <c r="U40" i="1" s="1"/>
  <c r="P159" i="1"/>
  <c r="Q159" i="1" s="1"/>
  <c r="P326" i="1"/>
  <c r="Q326" i="1" s="1"/>
  <c r="P26" i="1"/>
  <c r="Q26" i="1" s="1"/>
  <c r="P266" i="1"/>
  <c r="Q266" i="1" s="1"/>
  <c r="O306" i="1"/>
  <c r="R306" i="1" s="1"/>
  <c r="O68" i="1"/>
  <c r="R68" i="1" s="1"/>
  <c r="N111" i="1"/>
  <c r="U111" i="1" s="1"/>
  <c r="P220" i="1"/>
  <c r="Q220" i="1" s="1"/>
  <c r="N290" i="1"/>
  <c r="U290" i="1" s="1"/>
  <c r="P231" i="1"/>
  <c r="Q231" i="1" s="1"/>
  <c r="P182" i="1"/>
  <c r="Q182" i="1" s="1"/>
  <c r="O133" i="1"/>
  <c r="S133" i="1" s="1"/>
  <c r="N299" i="1"/>
  <c r="U299" i="1" s="1"/>
  <c r="P241" i="1"/>
  <c r="Q241" i="1" s="1"/>
  <c r="O310" i="1"/>
  <c r="P199" i="1"/>
  <c r="Q199" i="1" s="1"/>
  <c r="P277" i="1"/>
  <c r="Q277" i="1" s="1"/>
  <c r="P83" i="1"/>
  <c r="Q83" i="1" s="1"/>
  <c r="N97" i="1"/>
  <c r="U97" i="1" s="1"/>
  <c r="P249" i="1"/>
  <c r="Q249" i="1" s="1"/>
  <c r="N279" i="1"/>
  <c r="U279" i="1" s="1"/>
  <c r="B57" i="1"/>
  <c r="P37" i="1"/>
  <c r="Q37" i="1" s="1"/>
  <c r="N138" i="1"/>
  <c r="U138" i="1" s="1"/>
  <c r="P317" i="1"/>
  <c r="Q317" i="1" s="1"/>
  <c r="P42" i="1"/>
  <c r="Q42" i="1" s="1"/>
  <c r="N52" i="1"/>
  <c r="U52" i="1" s="1"/>
  <c r="N291" i="1"/>
  <c r="U291" i="1" s="1"/>
  <c r="N172" i="1"/>
  <c r="U172" i="1" s="1"/>
  <c r="O61" i="1"/>
  <c r="N255" i="1"/>
  <c r="U255" i="1" s="1"/>
  <c r="P232" i="1"/>
  <c r="Q232" i="1" s="1"/>
  <c r="N74" i="1"/>
  <c r="U74" i="1" s="1"/>
  <c r="O196" i="1"/>
  <c r="P118" i="1"/>
  <c r="Q118" i="1" s="1"/>
  <c r="N281" i="1"/>
  <c r="U281" i="1" s="1"/>
  <c r="P55" i="1"/>
  <c r="Q55" i="1" s="1"/>
  <c r="N120" i="1"/>
  <c r="U120" i="1" s="1"/>
  <c r="P211" i="1"/>
  <c r="Q211" i="1" s="1"/>
  <c r="N268" i="1"/>
  <c r="U268" i="1" s="1"/>
  <c r="P190" i="1"/>
  <c r="Q190" i="1" s="1"/>
  <c r="O260" i="1"/>
  <c r="P202" i="1"/>
  <c r="Q202" i="1" s="1"/>
  <c r="P302" i="1"/>
  <c r="Q302" i="1" s="1"/>
  <c r="O87" i="1"/>
  <c r="N327" i="1"/>
  <c r="U327" i="1" s="1"/>
  <c r="N329" i="1"/>
  <c r="U329" i="1" s="1"/>
  <c r="P165" i="1"/>
  <c r="Q165" i="1" s="1"/>
  <c r="O212" i="1"/>
  <c r="O135" i="1"/>
  <c r="P230" i="1"/>
  <c r="Q230" i="1" s="1"/>
  <c r="P97" i="1"/>
  <c r="Q97" i="1" s="1"/>
  <c r="P96" i="1"/>
  <c r="Q96" i="1" s="1"/>
  <c r="N163" i="1"/>
  <c r="U163" i="1" s="1"/>
  <c r="O85" i="1"/>
  <c r="N109" i="1"/>
  <c r="U109" i="1" s="1"/>
  <c r="O252" i="1"/>
  <c r="N262" i="1"/>
  <c r="U262" i="1" s="1"/>
  <c r="N179" i="1"/>
  <c r="U179" i="1" s="1"/>
  <c r="O30" i="1"/>
  <c r="O150" i="1"/>
  <c r="O53" i="1"/>
  <c r="O238" i="1"/>
  <c r="N133" i="1"/>
  <c r="U133" i="1" s="1"/>
  <c r="N227" i="1"/>
  <c r="U227" i="1" s="1"/>
  <c r="N130" i="1"/>
  <c r="U130" i="1" s="1"/>
  <c r="P234" i="1"/>
  <c r="Q234" i="1" s="1"/>
  <c r="P272" i="1"/>
  <c r="Q272" i="1" s="1"/>
  <c r="O42" i="1"/>
  <c r="N242" i="1"/>
  <c r="U242" i="1" s="1"/>
  <c r="N9" i="1"/>
  <c r="O251" i="1"/>
  <c r="O52" i="1"/>
  <c r="O187" i="1"/>
  <c r="N154" i="1"/>
  <c r="U154" i="1" s="1"/>
  <c r="N159" i="1"/>
  <c r="U159" i="1" s="1"/>
  <c r="B59" i="1"/>
  <c r="O113" i="1"/>
  <c r="S174" i="1"/>
  <c r="R271" i="1"/>
  <c r="R107" i="1"/>
  <c r="S268" i="1"/>
  <c r="R191" i="1"/>
  <c r="R259" i="1"/>
  <c r="S110" i="1"/>
  <c r="R110" i="1"/>
  <c r="S286" i="1"/>
  <c r="R286" i="1"/>
  <c r="S320" i="1"/>
  <c r="S180" i="1"/>
  <c r="R304" i="1"/>
  <c r="S195" i="1"/>
  <c r="R195" i="1"/>
  <c r="S236" i="1"/>
  <c r="S142" i="1"/>
  <c r="S269" i="1"/>
  <c r="S311" i="1"/>
  <c r="S192" i="1" l="1"/>
  <c r="S108" i="1"/>
  <c r="S323" i="1"/>
  <c r="R281" i="1"/>
  <c r="R112" i="1"/>
  <c r="R289" i="1"/>
  <c r="R255" i="1"/>
  <c r="R38" i="1"/>
  <c r="R120" i="1"/>
  <c r="B138" i="4"/>
  <c r="B88" i="4"/>
  <c r="S80" i="1"/>
  <c r="S161" i="1"/>
  <c r="R73" i="1"/>
  <c r="R190" i="1"/>
  <c r="R185" i="1"/>
  <c r="S49" i="1"/>
  <c r="S244" i="1"/>
  <c r="S205" i="1"/>
  <c r="R151" i="1"/>
  <c r="R176" i="1"/>
  <c r="S35" i="1"/>
  <c r="S139" i="1"/>
  <c r="S23" i="1"/>
  <c r="S11" i="1"/>
  <c r="S247" i="1"/>
  <c r="R242" i="1"/>
  <c r="R181" i="1"/>
  <c r="R208" i="1"/>
  <c r="R278" i="1"/>
  <c r="R37" i="1"/>
  <c r="R300" i="1"/>
  <c r="R24" i="1"/>
  <c r="S217" i="1"/>
  <c r="R266" i="1"/>
  <c r="R219" i="1"/>
  <c r="S267" i="1"/>
  <c r="R124" i="1"/>
  <c r="R201" i="1"/>
  <c r="R263" i="1"/>
  <c r="R221" i="1"/>
  <c r="R125" i="1"/>
  <c r="R40" i="1"/>
  <c r="R132" i="1"/>
  <c r="S50" i="1"/>
  <c r="R172" i="1"/>
  <c r="R122" i="1"/>
  <c r="R109" i="1"/>
  <c r="R277" i="1"/>
  <c r="R45" i="1"/>
  <c r="R169" i="1"/>
  <c r="R134" i="1"/>
  <c r="S16" i="1"/>
  <c r="S31" i="1"/>
  <c r="S290" i="1"/>
  <c r="R222" i="1"/>
  <c r="S67" i="1"/>
  <c r="R312" i="1"/>
  <c r="R189" i="1"/>
  <c r="R168" i="1"/>
  <c r="S9" i="1"/>
  <c r="R204" i="1"/>
  <c r="R292" i="1"/>
  <c r="S36" i="1"/>
  <c r="R75" i="1"/>
  <c r="R209" i="1"/>
  <c r="R129" i="1"/>
  <c r="R330" i="1"/>
  <c r="R171" i="1"/>
  <c r="S118" i="1"/>
  <c r="S121" i="1"/>
  <c r="R137" i="1"/>
  <c r="S175" i="1"/>
  <c r="R216" i="1"/>
  <c r="S256" i="1"/>
  <c r="S10" i="1"/>
  <c r="R44" i="1"/>
  <c r="S89" i="1"/>
  <c r="S15" i="1"/>
  <c r="S257" i="1"/>
  <c r="R94" i="1"/>
  <c r="S291" i="1"/>
  <c r="R314" i="1"/>
  <c r="R309" i="1"/>
  <c r="S25" i="1"/>
  <c r="S272" i="1"/>
  <c r="R26" i="1"/>
  <c r="S295" i="1"/>
  <c r="R97" i="1"/>
  <c r="R91" i="1"/>
  <c r="R51" i="1"/>
  <c r="R163" i="1"/>
  <c r="S48" i="1"/>
  <c r="R178" i="1"/>
  <c r="R229" i="1"/>
  <c r="R303" i="1"/>
  <c r="R327" i="1"/>
  <c r="R250" i="1"/>
  <c r="S103" i="1"/>
  <c r="R296" i="1"/>
  <c r="R177" i="1"/>
  <c r="R99" i="1"/>
  <c r="R14" i="1"/>
  <c r="S301" i="1"/>
  <c r="R153" i="1"/>
  <c r="R19" i="1"/>
  <c r="R188" i="1"/>
  <c r="R60" i="1"/>
  <c r="R56" i="1"/>
  <c r="R324" i="1"/>
  <c r="S39" i="1"/>
  <c r="R154" i="1"/>
  <c r="R215" i="1"/>
  <c r="S148" i="1"/>
  <c r="R248" i="1"/>
  <c r="S237" i="1"/>
  <c r="R270" i="1"/>
  <c r="S79" i="1"/>
  <c r="R65" i="1"/>
  <c r="R206" i="1"/>
  <c r="R193" i="1"/>
  <c r="R319" i="1"/>
  <c r="S57" i="1"/>
  <c r="S149" i="1"/>
  <c r="S59" i="1"/>
  <c r="R211" i="1"/>
  <c r="R233" i="1"/>
  <c r="R140" i="1"/>
  <c r="R18" i="1"/>
  <c r="R245" i="1"/>
  <c r="R13" i="1"/>
  <c r="R96" i="1"/>
  <c r="R156" i="1"/>
  <c r="R285" i="1"/>
  <c r="S66" i="1"/>
  <c r="S287" i="1"/>
  <c r="S83" i="1"/>
  <c r="S302" i="1"/>
  <c r="S298" i="1"/>
  <c r="S21" i="1"/>
  <c r="S226" i="1"/>
  <c r="R46" i="1"/>
  <c r="R231" i="1"/>
  <c r="S197" i="1"/>
  <c r="R143" i="1"/>
  <c r="R225" i="1"/>
  <c r="R239" i="1"/>
  <c r="R308" i="1"/>
  <c r="S200" i="1"/>
  <c r="S123" i="1"/>
  <c r="S279" i="1"/>
  <c r="R326" i="1"/>
  <c r="R318" i="1"/>
  <c r="R288" i="1"/>
  <c r="S22" i="1"/>
  <c r="R294" i="1"/>
  <c r="R253" i="1"/>
  <c r="R101" i="1"/>
  <c r="R305" i="1"/>
  <c r="R90" i="1"/>
  <c r="R144" i="1"/>
  <c r="S166" i="1"/>
  <c r="R128" i="1"/>
  <c r="R218" i="1"/>
  <c r="R93" i="1"/>
  <c r="R100" i="1"/>
  <c r="R214" i="1"/>
  <c r="R114" i="1"/>
  <c r="U331" i="4" a="1"/>
  <c r="U331" i="4" s="1"/>
  <c r="T331" i="4"/>
  <c r="U337" i="4" a="1"/>
  <c r="U337" i="4" s="1"/>
  <c r="T337" i="4"/>
  <c r="S324" i="4" a="1"/>
  <c r="S324" i="4" s="1"/>
  <c r="R324" i="4" a="1"/>
  <c r="R324" i="4" s="1"/>
  <c r="S333" i="4" a="1"/>
  <c r="S333" i="4" s="1"/>
  <c r="R333" i="4" a="1"/>
  <c r="R333" i="4" s="1"/>
  <c r="U325" i="4" a="1"/>
  <c r="U325" i="4" s="1"/>
  <c r="T325" i="4"/>
  <c r="S319" i="4" a="1"/>
  <c r="S319" i="4" s="1"/>
  <c r="R319" i="4" a="1"/>
  <c r="R319" i="4" s="1"/>
  <c r="U323" i="4" a="1"/>
  <c r="U323" i="4" s="1"/>
  <c r="T323" i="4"/>
  <c r="S322" i="4" a="1"/>
  <c r="S322" i="4" s="1"/>
  <c r="R322" i="4" a="1"/>
  <c r="R322" i="4" s="1"/>
  <c r="U335" i="4" a="1"/>
  <c r="U335" i="4" s="1"/>
  <c r="T335" i="4"/>
  <c r="S330" i="4" a="1"/>
  <c r="S330" i="4" s="1"/>
  <c r="R330" i="4" a="1"/>
  <c r="R330" i="4" s="1"/>
  <c r="S338" i="4" a="1"/>
  <c r="S338" i="4" s="1"/>
  <c r="R338" i="4" a="1"/>
  <c r="R338" i="4" s="1"/>
  <c r="S331" i="4" a="1"/>
  <c r="S331" i="4" s="1"/>
  <c r="R331" i="4" a="1"/>
  <c r="R331" i="4" s="1"/>
  <c r="U338" i="4" a="1"/>
  <c r="U338" i="4" s="1"/>
  <c r="T338" i="4"/>
  <c r="U321" i="4" a="1"/>
  <c r="U321" i="4" s="1"/>
  <c r="T321" i="4"/>
  <c r="U334" i="4" a="1"/>
  <c r="U334" i="4" s="1"/>
  <c r="T334" i="4"/>
  <c r="S320" i="4" a="1"/>
  <c r="S320" i="4" s="1"/>
  <c r="R320" i="4" a="1"/>
  <c r="R320" i="4" s="1"/>
  <c r="S328" i="4" a="1"/>
  <c r="S328" i="4" s="1"/>
  <c r="R328" i="4" a="1"/>
  <c r="R328" i="4" s="1"/>
  <c r="S323" i="4" a="1"/>
  <c r="S323" i="4" s="1"/>
  <c r="R323" i="4" a="1"/>
  <c r="R323" i="4" s="1"/>
  <c r="U329" i="4" a="1"/>
  <c r="U329" i="4" s="1"/>
  <c r="T329" i="4"/>
  <c r="Q8" i="1"/>
  <c r="B88" i="1" s="1"/>
  <c r="R8" i="1"/>
  <c r="U330" i="4" a="1"/>
  <c r="U330" i="4" s="1"/>
  <c r="T330" i="4"/>
  <c r="U336" i="4" a="1"/>
  <c r="U336" i="4" s="1"/>
  <c r="T336" i="4"/>
  <c r="S332" i="4" a="1"/>
  <c r="S332" i="4" s="1"/>
  <c r="R332" i="4" a="1"/>
  <c r="R332" i="4" s="1"/>
  <c r="U326" i="4" a="1"/>
  <c r="U326" i="4" s="1"/>
  <c r="T326" i="4"/>
  <c r="U332" i="4" a="1"/>
  <c r="U332" i="4" s="1"/>
  <c r="T332" i="4"/>
  <c r="S321" i="4" a="1"/>
  <c r="S321" i="4" s="1"/>
  <c r="R321" i="4" a="1"/>
  <c r="R321" i="4" s="1"/>
  <c r="U328" i="4" a="1"/>
  <c r="U328" i="4" s="1"/>
  <c r="T328" i="4"/>
  <c r="U324" i="4" a="1"/>
  <c r="U324" i="4" s="1"/>
  <c r="T324" i="4"/>
  <c r="S336" i="4" a="1"/>
  <c r="S336" i="4" s="1"/>
  <c r="R336" i="4" a="1"/>
  <c r="R336" i="4" s="1"/>
  <c r="U327" i="4" a="1"/>
  <c r="U327" i="4" s="1"/>
  <c r="T327" i="4"/>
  <c r="S337" i="4" a="1"/>
  <c r="S337" i="4" s="1"/>
  <c r="R337" i="4" a="1"/>
  <c r="R337" i="4" s="1"/>
  <c r="U322" i="4" a="1"/>
  <c r="U322" i="4" s="1"/>
  <c r="T322" i="4"/>
  <c r="S325" i="4" a="1"/>
  <c r="S325" i="4" s="1"/>
  <c r="R325" i="4" a="1"/>
  <c r="R325" i="4" s="1"/>
  <c r="U319" i="4" a="1"/>
  <c r="U319" i="4" s="1"/>
  <c r="T319" i="4"/>
  <c r="U320" i="4" a="1"/>
  <c r="U320" i="4" s="1"/>
  <c r="T320" i="4"/>
  <c r="S329" i="4" a="1"/>
  <c r="S329" i="4" s="1"/>
  <c r="R329" i="4" a="1"/>
  <c r="R329" i="4" s="1"/>
  <c r="S326" i="4" a="1"/>
  <c r="S326" i="4" s="1"/>
  <c r="R326" i="4" a="1"/>
  <c r="R326" i="4" s="1"/>
  <c r="S335" i="4" a="1"/>
  <c r="S335" i="4" s="1"/>
  <c r="R335" i="4" a="1"/>
  <c r="R335" i="4" s="1"/>
  <c r="R41" i="1"/>
  <c r="R207" i="1"/>
  <c r="R282" i="1"/>
  <c r="S334" i="4" a="1"/>
  <c r="S334" i="4" s="1"/>
  <c r="R334" i="4" a="1"/>
  <c r="R334" i="4" s="1"/>
  <c r="U333" i="4" a="1"/>
  <c r="U333" i="4" s="1"/>
  <c r="T333" i="4"/>
  <c r="S327" i="4" a="1"/>
  <c r="S327" i="4" s="1"/>
  <c r="R327" i="4" a="1"/>
  <c r="R327" i="4" s="1"/>
  <c r="R315" i="1"/>
  <c r="S198" i="1"/>
  <c r="R230" i="1"/>
  <c r="U9" i="1"/>
  <c r="V70" i="1" s="1"/>
  <c r="C25" i="1"/>
  <c r="R106" i="1"/>
  <c r="R299" i="1"/>
  <c r="R264" i="1"/>
  <c r="S199" i="1"/>
  <c r="R92" i="1"/>
  <c r="R131" i="1"/>
  <c r="S213" i="1"/>
  <c r="S293" i="1"/>
  <c r="R210" i="1"/>
  <c r="R71" i="1"/>
  <c r="S69" i="1"/>
  <c r="R280" i="1"/>
  <c r="R84" i="1"/>
  <c r="R158" i="1"/>
  <c r="S28" i="1"/>
  <c r="S33" i="1"/>
  <c r="S325" i="1"/>
  <c r="S127" i="1"/>
  <c r="R283" i="1"/>
  <c r="S62" i="1"/>
  <c r="R95" i="1"/>
  <c r="S147" i="1"/>
  <c r="R179" i="1"/>
  <c r="R152" i="1"/>
  <c r="R235" i="1"/>
  <c r="R243" i="1"/>
  <c r="R98" i="1"/>
  <c r="S258" i="1"/>
  <c r="S184" i="1"/>
  <c r="S72" i="1"/>
  <c r="S54" i="1"/>
  <c r="S119" i="1"/>
  <c r="R262" i="1"/>
  <c r="R227" i="1"/>
  <c r="R249" i="1"/>
  <c r="R116" i="1"/>
  <c r="R104" i="1"/>
  <c r="R136" i="1"/>
  <c r="R159" i="1"/>
  <c r="S321" i="1"/>
  <c r="R274" i="1"/>
  <c r="R254" i="1"/>
  <c r="R47" i="1"/>
  <c r="R164" i="1"/>
  <c r="S170" i="1"/>
  <c r="R224" i="1"/>
  <c r="S29" i="1"/>
  <c r="R173" i="1"/>
  <c r="S202" i="1"/>
  <c r="R322" i="1"/>
  <c r="R284" i="1"/>
  <c r="R234" i="1"/>
  <c r="S64" i="1"/>
  <c r="R76" i="1"/>
  <c r="R228" i="1"/>
  <c r="S232" i="1"/>
  <c r="S240" i="1"/>
  <c r="R138" i="1"/>
  <c r="R20" i="1"/>
  <c r="R186" i="1"/>
  <c r="R275" i="1"/>
  <c r="S317" i="1"/>
  <c r="R160" i="1"/>
  <c r="R276" i="1"/>
  <c r="R165" i="1"/>
  <c r="R162" i="1"/>
  <c r="S162" i="1"/>
  <c r="S223" i="1"/>
  <c r="R155" i="1"/>
  <c r="S194" i="1"/>
  <c r="R194" i="1"/>
  <c r="R102" i="1"/>
  <c r="R313" i="1"/>
  <c r="R34" i="1"/>
  <c r="S111" i="1"/>
  <c r="R111" i="1"/>
  <c r="S63" i="1"/>
  <c r="R261" i="1"/>
  <c r="S261" i="1"/>
  <c r="S183" i="1"/>
  <c r="R183" i="1"/>
  <c r="R115" i="1"/>
  <c r="R203" i="1"/>
  <c r="R105" i="1"/>
  <c r="S265" i="1"/>
  <c r="R265" i="1"/>
  <c r="R241" i="1"/>
  <c r="R117" i="1"/>
  <c r="S117" i="1"/>
  <c r="S220" i="1"/>
  <c r="R220" i="1"/>
  <c r="S88" i="1"/>
  <c r="S78" i="1"/>
  <c r="R78" i="1"/>
  <c r="R27" i="1"/>
  <c r="S141" i="1"/>
  <c r="S43" i="1"/>
  <c r="R43" i="1"/>
  <c r="R329" i="1"/>
  <c r="S329" i="1"/>
  <c r="R126" i="1"/>
  <c r="S58" i="1"/>
  <c r="R58" i="1"/>
  <c r="R55" i="1"/>
  <c r="R133" i="1"/>
  <c r="R32" i="1"/>
  <c r="R146" i="1"/>
  <c r="S146" i="1"/>
  <c r="S81" i="1"/>
  <c r="R81" i="1"/>
  <c r="S306" i="1"/>
  <c r="R82" i="1"/>
  <c r="S86" i="1"/>
  <c r="R86" i="1"/>
  <c r="S297" i="1"/>
  <c r="T272" i="1"/>
  <c r="R316" i="1"/>
  <c r="S316" i="1"/>
  <c r="S77" i="1"/>
  <c r="R77" i="1"/>
  <c r="S307" i="1"/>
  <c r="R307" i="1"/>
  <c r="S74" i="1"/>
  <c r="R74" i="1"/>
  <c r="S8" i="1"/>
  <c r="R130" i="1"/>
  <c r="S130" i="1"/>
  <c r="S328" i="1"/>
  <c r="R328" i="1"/>
  <c r="T214" i="1"/>
  <c r="T182" i="1"/>
  <c r="T65" i="1"/>
  <c r="T256" i="1"/>
  <c r="T311" i="1"/>
  <c r="S68" i="1"/>
  <c r="R145" i="1"/>
  <c r="R182" i="1"/>
  <c r="B87" i="1"/>
  <c r="S246" i="1"/>
  <c r="T46" i="1"/>
  <c r="T312" i="1"/>
  <c r="T294" i="1"/>
  <c r="T288" i="1"/>
  <c r="T143" i="1"/>
  <c r="S238" i="1"/>
  <c r="R238" i="1"/>
  <c r="S85" i="1"/>
  <c r="R85" i="1"/>
  <c r="T326" i="1"/>
  <c r="T130" i="1"/>
  <c r="T240" i="1"/>
  <c r="T221" i="1"/>
  <c r="T225" i="1"/>
  <c r="T62" i="1"/>
  <c r="T53" i="1"/>
  <c r="S157" i="1"/>
  <c r="S53" i="1"/>
  <c r="R53" i="1"/>
  <c r="R61" i="1"/>
  <c r="S61" i="1"/>
  <c r="T79" i="1"/>
  <c r="T306" i="1"/>
  <c r="T98" i="1"/>
  <c r="T47" i="1"/>
  <c r="B129" i="1"/>
  <c r="T207" i="1"/>
  <c r="T254" i="1"/>
  <c r="T90" i="1"/>
  <c r="T250" i="1"/>
  <c r="S273" i="1"/>
  <c r="S150" i="1"/>
  <c r="R150" i="1"/>
  <c r="S87" i="1"/>
  <c r="R87" i="1"/>
  <c r="T68" i="1"/>
  <c r="T9" i="1"/>
  <c r="T189" i="1"/>
  <c r="R30" i="1"/>
  <c r="S30" i="1"/>
  <c r="T23" i="1"/>
  <c r="T264" i="1"/>
  <c r="T191" i="1"/>
  <c r="T232" i="1"/>
  <c r="T276" i="1"/>
  <c r="T142" i="1"/>
  <c r="T315" i="1"/>
  <c r="T24" i="1"/>
  <c r="T131" i="1"/>
  <c r="T239" i="1"/>
  <c r="T308" i="1"/>
  <c r="T247" i="1"/>
  <c r="R167" i="1"/>
  <c r="S135" i="1"/>
  <c r="R135" i="1"/>
  <c r="S260" i="1"/>
  <c r="R260" i="1"/>
  <c r="S196" i="1"/>
  <c r="R196" i="1"/>
  <c r="R310" i="1"/>
  <c r="S310" i="1"/>
  <c r="T43" i="1"/>
  <c r="T330" i="1"/>
  <c r="T302" i="1"/>
  <c r="T94" i="1"/>
  <c r="S252" i="1"/>
  <c r="R252" i="1"/>
  <c r="S212" i="1"/>
  <c r="R212" i="1"/>
  <c r="T268" i="1"/>
  <c r="T277" i="1"/>
  <c r="T267" i="1"/>
  <c r="T58" i="1"/>
  <c r="T178" i="1"/>
  <c r="T246" i="1"/>
  <c r="T307" i="1"/>
  <c r="T156" i="1"/>
  <c r="T83" i="1"/>
  <c r="T44" i="1"/>
  <c r="T229" i="1"/>
  <c r="T19" i="1"/>
  <c r="T180" i="1"/>
  <c r="T15" i="1"/>
  <c r="T145" i="1"/>
  <c r="T111" i="1"/>
  <c r="T183" i="1"/>
  <c r="B55" i="1"/>
  <c r="T74" i="1"/>
  <c r="T243" i="1"/>
  <c r="T255" i="1"/>
  <c r="T208" i="1"/>
  <c r="T310" i="1"/>
  <c r="T280" i="1"/>
  <c r="T293" i="1"/>
  <c r="T289" i="1"/>
  <c r="T113" i="1"/>
  <c r="T241" i="1"/>
  <c r="T26" i="1"/>
  <c r="T328" i="1"/>
  <c r="T263" i="1"/>
  <c r="T71" i="1"/>
  <c r="T297" i="1"/>
  <c r="T287" i="1"/>
  <c r="T226" i="1"/>
  <c r="T318" i="1"/>
  <c r="T167" i="1"/>
  <c r="T144" i="1"/>
  <c r="T300" i="1"/>
  <c r="T216" i="1"/>
  <c r="T206" i="1"/>
  <c r="T100" i="1"/>
  <c r="T322" i="1"/>
  <c r="T258" i="1"/>
  <c r="T112" i="1"/>
  <c r="T25" i="1"/>
  <c r="T147" i="1"/>
  <c r="T269" i="1"/>
  <c r="T245" i="1"/>
  <c r="T118" i="1"/>
  <c r="T265" i="1"/>
  <c r="T126" i="1"/>
  <c r="T223" i="1"/>
  <c r="T227" i="1"/>
  <c r="T197" i="1"/>
  <c r="T70" i="1"/>
  <c r="T296" i="1"/>
  <c r="T253" i="1"/>
  <c r="T81" i="1"/>
  <c r="T212" i="1"/>
  <c r="T96" i="1"/>
  <c r="T18" i="1"/>
  <c r="T101" i="1"/>
  <c r="T11" i="1"/>
  <c r="T72" i="1"/>
  <c r="T136" i="1"/>
  <c r="T291" i="1"/>
  <c r="T251" i="1"/>
  <c r="T266" i="1"/>
  <c r="T51" i="1"/>
  <c r="T114" i="1"/>
  <c r="T320" i="1"/>
  <c r="T290" i="1"/>
  <c r="T234" i="1"/>
  <c r="T192" i="1"/>
  <c r="T186" i="1"/>
  <c r="T179" i="1"/>
  <c r="T85" i="1"/>
  <c r="T73" i="1"/>
  <c r="T160" i="1"/>
  <c r="T204" i="1"/>
  <c r="T127" i="1"/>
  <c r="T278" i="1"/>
  <c r="T121" i="1"/>
  <c r="T194" i="1"/>
  <c r="T285" i="1"/>
  <c r="T10" i="1"/>
  <c r="T262" i="1"/>
  <c r="T317" i="1"/>
  <c r="T99" i="1"/>
  <c r="T260" i="1"/>
  <c r="T228" i="1"/>
  <c r="T236" i="1"/>
  <c r="T273" i="1"/>
  <c r="T323" i="1"/>
  <c r="T34" i="1"/>
  <c r="T169" i="1"/>
  <c r="T91" i="1"/>
  <c r="T140" i="1"/>
  <c r="T28" i="1"/>
  <c r="T63" i="1"/>
  <c r="T173" i="1"/>
  <c r="T35" i="1"/>
  <c r="T161" i="1"/>
  <c r="T171" i="1"/>
  <c r="T42" i="1"/>
  <c r="T230" i="1"/>
  <c r="T115" i="1"/>
  <c r="T21" i="1"/>
  <c r="T190" i="1"/>
  <c r="T159" i="1"/>
  <c r="T78" i="1"/>
  <c r="T314" i="1"/>
  <c r="T301" i="1"/>
  <c r="T40" i="1"/>
  <c r="T50" i="1"/>
  <c r="T303" i="1"/>
  <c r="T215" i="1"/>
  <c r="T155" i="1"/>
  <c r="T327" i="1"/>
  <c r="T49" i="1"/>
  <c r="T84" i="1"/>
  <c r="T252" i="1"/>
  <c r="T209" i="1"/>
  <c r="T282" i="1"/>
  <c r="T87" i="1"/>
  <c r="T52" i="1"/>
  <c r="T97" i="1"/>
  <c r="T166" i="1"/>
  <c r="T164" i="1"/>
  <c r="T117" i="1"/>
  <c r="T95" i="1"/>
  <c r="T29" i="1"/>
  <c r="T67" i="1"/>
  <c r="T106" i="1"/>
  <c r="T39" i="1"/>
  <c r="T231" i="1"/>
  <c r="T274" i="1"/>
  <c r="T224" i="1"/>
  <c r="T14" i="1"/>
  <c r="T181" i="1"/>
  <c r="T299" i="1"/>
  <c r="T32" i="1"/>
  <c r="T257" i="1"/>
  <c r="T45" i="1"/>
  <c r="T157" i="1"/>
  <c r="T329" i="1"/>
  <c r="T162" i="1"/>
  <c r="T133" i="1"/>
  <c r="T184" i="1"/>
  <c r="T295" i="1"/>
  <c r="T237" i="1"/>
  <c r="T13" i="1"/>
  <c r="T110" i="1"/>
  <c r="T37" i="1"/>
  <c r="T325" i="1"/>
  <c r="T168" i="1"/>
  <c r="T64" i="1"/>
  <c r="T119" i="1"/>
  <c r="T55" i="1"/>
  <c r="T152" i="1"/>
  <c r="T316" i="1"/>
  <c r="T120" i="1"/>
  <c r="T80" i="1"/>
  <c r="T202" i="1"/>
  <c r="T105" i="1"/>
  <c r="T283" i="1"/>
  <c r="T122" i="1"/>
  <c r="T150" i="1"/>
  <c r="T135" i="1"/>
  <c r="T187" i="1"/>
  <c r="T149" i="1"/>
  <c r="T102" i="1"/>
  <c r="T170" i="1"/>
  <c r="T137" i="1"/>
  <c r="T201" i="1"/>
  <c r="T61" i="1"/>
  <c r="T36" i="1"/>
  <c r="T238" i="1"/>
  <c r="T185" i="1"/>
  <c r="T128" i="1"/>
  <c r="T69" i="1"/>
  <c r="T199" i="1"/>
  <c r="T270" i="1"/>
  <c r="T33" i="1"/>
  <c r="T151" i="1"/>
  <c r="T107" i="1"/>
  <c r="T104" i="1"/>
  <c r="T132" i="1"/>
  <c r="T248" i="1"/>
  <c r="T298" i="1"/>
  <c r="T48" i="1"/>
  <c r="T116" i="1"/>
  <c r="T319" i="1"/>
  <c r="T172" i="1"/>
  <c r="T56" i="1"/>
  <c r="T134" i="1"/>
  <c r="T92" i="1"/>
  <c r="T219" i="1"/>
  <c r="T188" i="1"/>
  <c r="T20" i="1"/>
  <c r="T249" i="1"/>
  <c r="T281" i="1"/>
  <c r="T16" i="1"/>
  <c r="T59" i="1"/>
  <c r="T125" i="1"/>
  <c r="T165" i="1"/>
  <c r="T86" i="1"/>
  <c r="T30" i="1"/>
  <c r="T235" i="1"/>
  <c r="T217" i="1"/>
  <c r="T292" i="1"/>
  <c r="T259" i="1"/>
  <c r="T129" i="1"/>
  <c r="T286" i="1"/>
  <c r="T220" i="1"/>
  <c r="T233" i="1"/>
  <c r="T89" i="1"/>
  <c r="T109" i="1"/>
  <c r="T304" i="1"/>
  <c r="T103" i="1"/>
  <c r="T148" i="1"/>
  <c r="T324" i="1"/>
  <c r="T60" i="1"/>
  <c r="T123" i="1"/>
  <c r="T82" i="1"/>
  <c r="T75" i="1"/>
  <c r="T275" i="1"/>
  <c r="T200" i="1"/>
  <c r="T321" i="1"/>
  <c r="T57" i="1"/>
  <c r="T195" i="1"/>
  <c r="T176" i="1"/>
  <c r="T138" i="1"/>
  <c r="T175" i="1"/>
  <c r="T93" i="1"/>
  <c r="T218" i="1"/>
  <c r="T22" i="1"/>
  <c r="T242" i="1"/>
  <c r="T158" i="1"/>
  <c r="T174" i="1"/>
  <c r="T54" i="1"/>
  <c r="T153" i="1"/>
  <c r="T177" i="1"/>
  <c r="T193" i="1"/>
  <c r="T108" i="1"/>
  <c r="T279" i="1"/>
  <c r="T88" i="1"/>
  <c r="T213" i="1"/>
  <c r="T211" i="1"/>
  <c r="T309" i="1"/>
  <c r="T66" i="1"/>
  <c r="T38" i="1"/>
  <c r="T139" i="1"/>
  <c r="T77" i="1"/>
  <c r="T203" i="1"/>
  <c r="T124" i="1"/>
  <c r="T8" i="1"/>
  <c r="T146" i="1"/>
  <c r="T313" i="1"/>
  <c r="T196" i="1"/>
  <c r="T222" i="1"/>
  <c r="T205" i="1"/>
  <c r="T141" i="1"/>
  <c r="T210" i="1"/>
  <c r="T198" i="1"/>
  <c r="T76" i="1"/>
  <c r="T284" i="1"/>
  <c r="T27" i="1"/>
  <c r="T271" i="1"/>
  <c r="T163" i="1"/>
  <c r="T41" i="1"/>
  <c r="T154" i="1"/>
  <c r="T261" i="1"/>
  <c r="T305" i="1"/>
  <c r="T244" i="1"/>
  <c r="T31" i="1"/>
  <c r="S42" i="1"/>
  <c r="R42" i="1"/>
  <c r="S113" i="1"/>
  <c r="R113" i="1"/>
  <c r="S187" i="1"/>
  <c r="R187" i="1"/>
  <c r="R52" i="1"/>
  <c r="S52" i="1"/>
  <c r="S251" i="1"/>
  <c r="R251" i="1"/>
  <c r="D139" i="4" l="1"/>
  <c r="C160" i="4"/>
  <c r="C161" i="4"/>
  <c r="D140" i="4"/>
  <c r="V120" i="4"/>
  <c r="V217" i="4"/>
  <c r="V114" i="4"/>
  <c r="V292" i="4"/>
  <c r="V278" i="4"/>
  <c r="V173" i="4"/>
  <c r="V270" i="4"/>
  <c r="V122" i="4"/>
  <c r="V294" i="4"/>
  <c r="V93" i="4"/>
  <c r="V191" i="4"/>
  <c r="V186" i="4"/>
  <c r="V10" i="4"/>
  <c r="V238" i="4"/>
  <c r="V44" i="4"/>
  <c r="V90" i="4"/>
  <c r="V177" i="4"/>
  <c r="V233" i="4"/>
  <c r="V99" i="4"/>
  <c r="V21" i="4"/>
  <c r="V179" i="4"/>
  <c r="V244" i="4"/>
  <c r="V243" i="4"/>
  <c r="V159" i="4"/>
  <c r="V263" i="4"/>
  <c r="V74" i="4"/>
  <c r="V227" i="4"/>
  <c r="V24" i="4"/>
  <c r="V158" i="4"/>
  <c r="V126" i="4"/>
  <c r="V229" i="4"/>
  <c r="V64" i="4"/>
  <c r="V284" i="4"/>
  <c r="V201" i="4"/>
  <c r="V308" i="4"/>
  <c r="V213" i="4"/>
  <c r="V300" i="4"/>
  <c r="V23" i="4"/>
  <c r="V13" i="4"/>
  <c r="V212" i="4"/>
  <c r="V314" i="4"/>
  <c r="V119" i="4"/>
  <c r="V117" i="4"/>
  <c r="V77" i="4"/>
  <c r="V88" i="4"/>
  <c r="V231" i="4"/>
  <c r="V204" i="4"/>
  <c r="V54" i="4"/>
  <c r="V78" i="4"/>
  <c r="V249" i="4"/>
  <c r="V58" i="4"/>
  <c r="V166" i="4"/>
  <c r="V43" i="4"/>
  <c r="V33" i="4"/>
  <c r="V145" i="4"/>
  <c r="V12" i="4"/>
  <c r="V252" i="4"/>
  <c r="V105" i="4"/>
  <c r="V121" i="4"/>
  <c r="V51" i="4"/>
  <c r="V192" i="4"/>
  <c r="V222" i="4"/>
  <c r="V169" i="4"/>
  <c r="V293" i="4"/>
  <c r="V218" i="4"/>
  <c r="V59" i="4"/>
  <c r="V128" i="4"/>
  <c r="V312" i="4"/>
  <c r="V35" i="4"/>
  <c r="V86" i="4"/>
  <c r="V187" i="4"/>
  <c r="V289" i="4"/>
  <c r="V123" i="4"/>
  <c r="V207" i="4"/>
  <c r="V295" i="4"/>
  <c r="V103" i="4"/>
  <c r="V318" i="4"/>
  <c r="V72" i="4"/>
  <c r="V309" i="4"/>
  <c r="V260" i="4"/>
  <c r="V171" i="4"/>
  <c r="V96" i="4"/>
  <c r="V271" i="4"/>
  <c r="V163" i="4"/>
  <c r="V246" i="4"/>
  <c r="V156" i="4"/>
  <c r="V18" i="4"/>
  <c r="V62" i="4"/>
  <c r="V254" i="4"/>
  <c r="V288" i="4"/>
  <c r="V81" i="4"/>
  <c r="V37" i="4"/>
  <c r="V283" i="4"/>
  <c r="V47" i="4"/>
  <c r="V313" i="4"/>
  <c r="V206" i="4"/>
  <c r="V140" i="4"/>
  <c r="V215" i="4"/>
  <c r="V20" i="4"/>
  <c r="V203" i="4"/>
  <c r="V149" i="4"/>
  <c r="V66" i="4"/>
  <c r="V178" i="4"/>
  <c r="V157" i="4"/>
  <c r="V266" i="4"/>
  <c r="V143" i="4"/>
  <c r="V235" i="4"/>
  <c r="V110" i="4"/>
  <c r="V69" i="4"/>
  <c r="V150" i="4"/>
  <c r="V175" i="4"/>
  <c r="V220" i="4"/>
  <c r="V281" i="4"/>
  <c r="V45" i="4"/>
  <c r="V196" i="4"/>
  <c r="V174" i="4"/>
  <c r="V152" i="4"/>
  <c r="V190" i="4"/>
  <c r="V259" i="4"/>
  <c r="V180" i="4"/>
  <c r="V182" i="4"/>
  <c r="V11" i="4"/>
  <c r="V32" i="4"/>
  <c r="V87" i="4"/>
  <c r="V63" i="4"/>
  <c r="V285" i="4"/>
  <c r="V161" i="4"/>
  <c r="V16" i="4"/>
  <c r="V40" i="4"/>
  <c r="V124" i="4"/>
  <c r="V273" i="4"/>
  <c r="V30" i="4"/>
  <c r="V38" i="4"/>
  <c r="V306" i="4"/>
  <c r="V22" i="4"/>
  <c r="V170" i="4"/>
  <c r="V71" i="4"/>
  <c r="V153" i="4"/>
  <c r="V89" i="4"/>
  <c r="V8" i="4"/>
  <c r="V258" i="4"/>
  <c r="V226" i="4"/>
  <c r="V60" i="4"/>
  <c r="V290" i="4"/>
  <c r="V255" i="4"/>
  <c r="V194" i="4"/>
  <c r="V199" i="4"/>
  <c r="V138" i="4"/>
  <c r="V111" i="4"/>
  <c r="V65" i="4"/>
  <c r="V264" i="4"/>
  <c r="V228" i="4"/>
  <c r="V34" i="4"/>
  <c r="V261" i="4"/>
  <c r="V61" i="4"/>
  <c r="V29" i="4"/>
  <c r="V176" i="4"/>
  <c r="V148" i="4"/>
  <c r="V205" i="4"/>
  <c r="V82" i="4"/>
  <c r="V79" i="4"/>
  <c r="V160" i="4"/>
  <c r="V250" i="4"/>
  <c r="V211" i="4"/>
  <c r="V239" i="4"/>
  <c r="V216" i="4"/>
  <c r="V48" i="4"/>
  <c r="V310" i="4"/>
  <c r="V125" i="4"/>
  <c r="V172" i="4"/>
  <c r="V296" i="4"/>
  <c r="V315" i="4"/>
  <c r="V317" i="4"/>
  <c r="V133" i="4"/>
  <c r="V19" i="4"/>
  <c r="V164" i="4"/>
  <c r="V185" i="4"/>
  <c r="V91" i="4"/>
  <c r="V181" i="4"/>
  <c r="V221" i="4"/>
  <c r="V15" i="4"/>
  <c r="V83" i="4"/>
  <c r="V188" i="4"/>
  <c r="V14" i="4"/>
  <c r="V307" i="4"/>
  <c r="V167" i="4"/>
  <c r="V141" i="4"/>
  <c r="V116" i="4"/>
  <c r="V316" i="4"/>
  <c r="V267" i="4"/>
  <c r="V75" i="4"/>
  <c r="V275" i="4"/>
  <c r="V241" i="4"/>
  <c r="V144" i="4"/>
  <c r="V92" i="4"/>
  <c r="V237" i="4"/>
  <c r="V102" i="4"/>
  <c r="V57" i="4"/>
  <c r="V95" i="4"/>
  <c r="V142" i="4"/>
  <c r="V230" i="4"/>
  <c r="V112" i="4"/>
  <c r="V279" i="4"/>
  <c r="V189" i="4"/>
  <c r="V225" i="4"/>
  <c r="V39" i="4"/>
  <c r="V49" i="4"/>
  <c r="V70" i="4"/>
  <c r="V56" i="4"/>
  <c r="V162" i="4"/>
  <c r="V234" i="4"/>
  <c r="V272" i="4"/>
  <c r="V109" i="4"/>
  <c r="V41" i="4"/>
  <c r="V154" i="4"/>
  <c r="V198" i="4"/>
  <c r="V98" i="4"/>
  <c r="V106" i="4"/>
  <c r="V202" i="4"/>
  <c r="V223" i="4"/>
  <c r="V26" i="4"/>
  <c r="V311" i="4"/>
  <c r="V52" i="4"/>
  <c r="V168" i="4"/>
  <c r="V232" i="4"/>
  <c r="V297" i="4"/>
  <c r="V113" i="4"/>
  <c r="V139" i="4"/>
  <c r="V256" i="4"/>
  <c r="V257" i="4"/>
  <c r="V36" i="4"/>
  <c r="V265" i="4"/>
  <c r="V151" i="4"/>
  <c r="V298" i="4"/>
  <c r="V195" i="4"/>
  <c r="V85" i="4"/>
  <c r="V245" i="4"/>
  <c r="V68" i="4"/>
  <c r="V184" i="4"/>
  <c r="V42" i="4"/>
  <c r="V262" i="4"/>
  <c r="V27" i="4"/>
  <c r="V200" i="4"/>
  <c r="V107" i="4"/>
  <c r="V240" i="4"/>
  <c r="V165" i="4"/>
  <c r="V291" i="4"/>
  <c r="V50" i="4"/>
  <c r="V247" i="4"/>
  <c r="V193" i="4"/>
  <c r="V208" i="4"/>
  <c r="V183" i="4"/>
  <c r="V94" i="4"/>
  <c r="V242" i="4"/>
  <c r="V147" i="4"/>
  <c r="V305" i="4"/>
  <c r="V209" i="4"/>
  <c r="V76" i="4"/>
  <c r="V155" i="4"/>
  <c r="V236" i="4"/>
  <c r="V251" i="4"/>
  <c r="V31" i="4"/>
  <c r="V67" i="4"/>
  <c r="V108" i="4"/>
  <c r="V118" i="4"/>
  <c r="V80" i="4"/>
  <c r="V53" i="4"/>
  <c r="V100" i="4"/>
  <c r="V277" i="4"/>
  <c r="V302" i="4"/>
  <c r="V248" i="4"/>
  <c r="V214" i="4"/>
  <c r="V274" i="4"/>
  <c r="V304" i="4"/>
  <c r="V73" i="4"/>
  <c r="V28" i="4"/>
  <c r="V253" i="4"/>
  <c r="V301" i="4"/>
  <c r="V25" i="4"/>
  <c r="V127" i="4"/>
  <c r="V46" i="4"/>
  <c r="V287" i="4"/>
  <c r="V299" i="4"/>
  <c r="V97" i="4"/>
  <c r="V17" i="4"/>
  <c r="V269" i="4"/>
  <c r="V303" i="4"/>
  <c r="V224" i="4"/>
  <c r="V84" i="4"/>
  <c r="V280" i="4"/>
  <c r="V282" i="4"/>
  <c r="V197" i="4"/>
  <c r="V146" i="4"/>
  <c r="V115" i="4"/>
  <c r="V9" i="4"/>
  <c r="V104" i="4"/>
  <c r="V276" i="4"/>
  <c r="V101" i="4"/>
  <c r="V55" i="4"/>
  <c r="V210" i="4"/>
  <c r="V268" i="4"/>
  <c r="V219" i="4"/>
  <c r="V286" i="4"/>
  <c r="D160" i="4"/>
  <c r="D161" i="4"/>
  <c r="B130" i="1"/>
  <c r="B131" i="1"/>
  <c r="G56" i="4"/>
  <c r="V324" i="4"/>
  <c r="V332" i="4"/>
  <c r="V333" i="4"/>
  <c r="V326" i="4"/>
  <c r="V334" i="4"/>
  <c r="V329" i="4"/>
  <c r="V319" i="4"/>
  <c r="V327" i="4"/>
  <c r="V335" i="4"/>
  <c r="V321" i="4"/>
  <c r="V320" i="4"/>
  <c r="V328" i="4"/>
  <c r="V336" i="4"/>
  <c r="V337" i="4"/>
  <c r="V322" i="4"/>
  <c r="V330" i="4"/>
  <c r="V338" i="4"/>
  <c r="V323" i="4"/>
  <c r="V331" i="4"/>
  <c r="V325" i="4"/>
  <c r="G55" i="1"/>
  <c r="V257" i="1"/>
  <c r="V256" i="1"/>
  <c r="V126" i="1"/>
  <c r="V282" i="1"/>
  <c r="V226" i="1"/>
  <c r="V60" i="1"/>
  <c r="V82" i="1"/>
  <c r="V154" i="1"/>
  <c r="V21" i="1"/>
  <c r="V66" i="1"/>
  <c r="V119" i="1"/>
  <c r="V157" i="1"/>
  <c r="V146" i="1"/>
  <c r="V58" i="1"/>
  <c r="V175" i="1"/>
  <c r="V308" i="1"/>
  <c r="V285" i="1"/>
  <c r="V185" i="1"/>
  <c r="V115" i="1"/>
  <c r="V122" i="1"/>
  <c r="V231" i="1"/>
  <c r="V38" i="1"/>
  <c r="V283" i="1"/>
  <c r="V50" i="1"/>
  <c r="V286" i="1"/>
  <c r="V36" i="1"/>
  <c r="V328" i="1"/>
  <c r="V255" i="1"/>
  <c r="V173" i="1"/>
  <c r="V34" i="1"/>
  <c r="V107" i="1"/>
  <c r="V293" i="1"/>
  <c r="V17" i="1"/>
  <c r="V24" i="1"/>
  <c r="V150" i="1"/>
  <c r="V137" i="1"/>
  <c r="V144" i="1"/>
  <c r="V270" i="1"/>
  <c r="V84" i="1"/>
  <c r="V264" i="1"/>
  <c r="V128" i="1"/>
  <c r="V62" i="1"/>
  <c r="V129" i="1"/>
  <c r="V184" i="1"/>
  <c r="V307" i="1"/>
  <c r="V136" i="1"/>
  <c r="V64" i="1"/>
  <c r="V117" i="1"/>
  <c r="V312" i="1"/>
  <c r="V55" i="1"/>
  <c r="V37" i="1"/>
  <c r="V297" i="1"/>
  <c r="V304" i="1"/>
  <c r="V111" i="1"/>
  <c r="V244" i="1"/>
  <c r="V61" i="1"/>
  <c r="V192" i="1"/>
  <c r="V114" i="1"/>
  <c r="V42" i="1"/>
  <c r="V167" i="1"/>
  <c r="V300" i="1"/>
  <c r="V162" i="1"/>
  <c r="V153" i="1"/>
  <c r="V222" i="1"/>
  <c r="V325" i="1"/>
  <c r="V72" i="1"/>
  <c r="V171" i="1"/>
  <c r="V314" i="1"/>
  <c r="V224" i="1"/>
  <c r="V259" i="1"/>
  <c r="V291" i="1"/>
  <c r="V178" i="1"/>
  <c r="V279" i="1"/>
  <c r="V86" i="1"/>
  <c r="V73" i="1"/>
  <c r="V80" i="1"/>
  <c r="V206" i="1"/>
  <c r="V20" i="1"/>
  <c r="V268" i="1"/>
  <c r="V135" i="1"/>
  <c r="V191" i="1"/>
  <c r="V324" i="1"/>
  <c r="V317" i="1"/>
  <c r="V310" i="1"/>
  <c r="V93" i="1"/>
  <c r="V263" i="1"/>
  <c r="V229" i="1"/>
  <c r="V179" i="1"/>
  <c r="V248" i="1"/>
  <c r="V246" i="1"/>
  <c r="V277" i="1"/>
  <c r="V233" i="1"/>
  <c r="V240" i="1"/>
  <c r="V47" i="1"/>
  <c r="V180" i="1"/>
  <c r="V237" i="1"/>
  <c r="V109" i="1"/>
  <c r="V289" i="1"/>
  <c r="V296" i="1"/>
  <c r="V103" i="1"/>
  <c r="V236" i="1"/>
  <c r="V319" i="1"/>
  <c r="V186" i="1"/>
  <c r="V158" i="1"/>
  <c r="V274" i="1"/>
  <c r="V327" i="1"/>
  <c r="V29" i="1"/>
  <c r="V83" i="1"/>
  <c r="V160" i="1"/>
  <c r="V227" i="1"/>
  <c r="V51" i="1"/>
  <c r="V98" i="1"/>
  <c r="V215" i="1"/>
  <c r="V22" i="1"/>
  <c r="V258" i="1"/>
  <c r="V16" i="1"/>
  <c r="V142" i="1"/>
  <c r="V71" i="1"/>
  <c r="V204" i="1"/>
  <c r="V101" i="1"/>
  <c r="V301" i="1"/>
  <c r="V127" i="1"/>
  <c r="V260" i="1"/>
  <c r="V320" i="1"/>
  <c r="V118" i="1"/>
  <c r="V201" i="1"/>
  <c r="V261" i="1"/>
  <c r="V195" i="1"/>
  <c r="V305" i="1"/>
  <c r="V120" i="1"/>
  <c r="V182" i="1"/>
  <c r="V275" i="1"/>
  <c r="V169" i="1"/>
  <c r="V176" i="1"/>
  <c r="V302" i="1"/>
  <c r="V116" i="1"/>
  <c r="V242" i="1"/>
  <c r="V323" i="1"/>
  <c r="V225" i="1"/>
  <c r="V232" i="1"/>
  <c r="V39" i="1"/>
  <c r="V172" i="1"/>
  <c r="V35" i="1"/>
  <c r="V288" i="1"/>
  <c r="V94" i="1"/>
  <c r="V265" i="1"/>
  <c r="V11" i="1"/>
  <c r="V219" i="1"/>
  <c r="V281" i="1"/>
  <c r="V32" i="1"/>
  <c r="V45" i="1"/>
  <c r="V18" i="1"/>
  <c r="V26" i="1"/>
  <c r="V151" i="1"/>
  <c r="V284" i="1"/>
  <c r="V170" i="1"/>
  <c r="V271" i="1"/>
  <c r="V78" i="1"/>
  <c r="V326" i="1"/>
  <c r="V140" i="1"/>
  <c r="V155" i="1"/>
  <c r="V181" i="1"/>
  <c r="V63" i="1"/>
  <c r="V196" i="1"/>
  <c r="V9" i="1"/>
  <c r="V54" i="1"/>
  <c r="V43" i="1"/>
  <c r="V131" i="1"/>
  <c r="V251" i="1"/>
  <c r="V241" i="1"/>
  <c r="V56" i="1"/>
  <c r="V252" i="1"/>
  <c r="V27" i="1"/>
  <c r="V105" i="1"/>
  <c r="V112" i="1"/>
  <c r="V238" i="1"/>
  <c r="V52" i="1"/>
  <c r="V200" i="1"/>
  <c r="V245" i="1"/>
  <c r="V161" i="1"/>
  <c r="V168" i="1"/>
  <c r="V294" i="1"/>
  <c r="V108" i="1"/>
  <c r="V139" i="1"/>
  <c r="V96" i="1"/>
  <c r="V30" i="1"/>
  <c r="V69" i="1"/>
  <c r="V322" i="1"/>
  <c r="V306" i="1"/>
  <c r="V217" i="1"/>
  <c r="V223" i="1"/>
  <c r="V221" i="1"/>
  <c r="V273" i="1"/>
  <c r="V280" i="1"/>
  <c r="V87" i="1"/>
  <c r="V220" i="1"/>
  <c r="V90" i="1"/>
  <c r="V207" i="1"/>
  <c r="V14" i="1"/>
  <c r="V262" i="1"/>
  <c r="V76" i="1"/>
  <c r="V329" i="1"/>
  <c r="V249" i="1"/>
  <c r="V318" i="1"/>
  <c r="V132" i="1"/>
  <c r="V299" i="1"/>
  <c r="V316" i="1"/>
  <c r="V243" i="1"/>
  <c r="V91" i="1"/>
  <c r="V133" i="1"/>
  <c r="V113" i="1"/>
  <c r="V311" i="1"/>
  <c r="V203" i="1"/>
  <c r="V290" i="1"/>
  <c r="V41" i="1"/>
  <c r="V48" i="1"/>
  <c r="V174" i="1"/>
  <c r="V75" i="1"/>
  <c r="V199" i="1"/>
  <c r="V309" i="1"/>
  <c r="V97" i="1"/>
  <c r="V104" i="1"/>
  <c r="V230" i="1"/>
  <c r="V44" i="1"/>
  <c r="V205" i="1"/>
  <c r="V287" i="1"/>
  <c r="V228" i="1"/>
  <c r="V123" i="1"/>
  <c r="V149" i="1"/>
  <c r="V141" i="1"/>
  <c r="V89" i="1"/>
  <c r="V31" i="1"/>
  <c r="V125" i="1"/>
  <c r="V209" i="1"/>
  <c r="V216" i="1"/>
  <c r="V23" i="1"/>
  <c r="V156" i="1"/>
  <c r="V10" i="1"/>
  <c r="V143" i="1"/>
  <c r="V276" i="1"/>
  <c r="V198" i="1"/>
  <c r="V12" i="1"/>
  <c r="V67" i="1"/>
  <c r="V57" i="1"/>
  <c r="V254" i="1"/>
  <c r="V68" i="1"/>
  <c r="V210" i="1"/>
  <c r="V188" i="1"/>
  <c r="V321" i="1"/>
  <c r="V250" i="1"/>
  <c r="V298" i="1"/>
  <c r="V49" i="1"/>
  <c r="V247" i="1"/>
  <c r="V235" i="1"/>
  <c r="V85" i="1"/>
  <c r="V202" i="1"/>
  <c r="V303" i="1"/>
  <c r="V110" i="1"/>
  <c r="V163" i="1"/>
  <c r="V197" i="1"/>
  <c r="V267" i="1"/>
  <c r="V33" i="1"/>
  <c r="V40" i="1"/>
  <c r="V166" i="1"/>
  <c r="V165" i="1"/>
  <c r="V189" i="1"/>
  <c r="V159" i="1"/>
  <c r="V164" i="1"/>
  <c r="V266" i="1"/>
  <c r="V313" i="1"/>
  <c r="V253" i="1"/>
  <c r="V25" i="1"/>
  <c r="V292" i="1"/>
  <c r="V187" i="1"/>
  <c r="V145" i="1"/>
  <c r="V152" i="1"/>
  <c r="V278" i="1"/>
  <c r="V92" i="1"/>
  <c r="V272" i="1"/>
  <c r="V79" i="1"/>
  <c r="V212" i="1"/>
  <c r="V134" i="1"/>
  <c r="B89" i="4"/>
  <c r="V213" i="1"/>
  <c r="V74" i="1"/>
  <c r="V190" i="1"/>
  <c r="V269" i="1"/>
  <c r="V177" i="1"/>
  <c r="V124" i="1"/>
  <c r="V65" i="1"/>
  <c r="V121" i="1"/>
  <c r="V59" i="1"/>
  <c r="V138" i="1"/>
  <c r="V183" i="1"/>
  <c r="V99" i="1"/>
  <c r="V147" i="1"/>
  <c r="V130" i="1"/>
  <c r="V239" i="1"/>
  <c r="V46" i="1"/>
  <c r="V19" i="1"/>
  <c r="V211" i="1"/>
  <c r="V53" i="1"/>
  <c r="V194" i="1"/>
  <c r="V295" i="1"/>
  <c r="V102" i="1"/>
  <c r="V315" i="1"/>
  <c r="V77" i="1"/>
  <c r="V95" i="1"/>
  <c r="V100" i="1"/>
  <c r="V193" i="1"/>
  <c r="V234" i="1"/>
  <c r="V218" i="1"/>
  <c r="V106" i="1"/>
  <c r="V330" i="1"/>
  <c r="V13" i="1"/>
  <c r="V81" i="1"/>
  <c r="V88" i="1"/>
  <c r="V214" i="1"/>
  <c r="V28" i="1"/>
  <c r="V208" i="1"/>
  <c r="V15" i="1"/>
  <c r="V14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Antonina H</author>
  </authors>
  <commentList>
    <comment ref="D35" authorId="0" shapeId="0" xr:uid="{CCBB8505-3F28-4DD2-A6C2-2410A7539131}">
      <text>
        <r>
          <rPr>
            <sz val="9"/>
            <color indexed="81"/>
            <rFont val="Tahoma"/>
            <family val="2"/>
          </rPr>
          <t xml:space="preserve">AeBo: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</t>
        </r>
        <r>
          <rPr>
            <sz val="9"/>
            <color indexed="81"/>
            <rFont val="Calibri"/>
            <family val="2"/>
          </rPr>
          <t>≤Lelastisch</t>
        </r>
        <r>
          <rPr>
            <sz val="9"/>
            <color indexed="81"/>
            <rFont val="Tahoma"/>
            <family val="2"/>
          </rPr>
          <t xml:space="preserve">
empfoglen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x=0.1m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Antonina H</author>
  </authors>
  <commentList>
    <comment ref="D36" authorId="0" shapeId="0" xr:uid="{B1CD1EBB-FCC1-4460-A677-5252FD38419F}">
      <text>
        <r>
          <rPr>
            <sz val="9"/>
            <color indexed="81"/>
            <rFont val="Tahoma"/>
            <family val="2"/>
          </rPr>
          <t xml:space="preserve">AeBo: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</t>
        </r>
        <r>
          <rPr>
            <sz val="9"/>
            <color indexed="81"/>
            <rFont val="Calibri"/>
            <family val="2"/>
          </rPr>
          <t>≤Lelastisch</t>
        </r>
        <r>
          <rPr>
            <sz val="9"/>
            <color indexed="81"/>
            <rFont val="Tahoma"/>
            <family val="2"/>
          </rPr>
          <t xml:space="preserve">
empfoglen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x=0.1m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Antonina H</author>
  </authors>
  <commentList>
    <comment ref="D37" authorId="0" shapeId="0" xr:uid="{902DF99A-4EBD-416C-926B-529DCF8F01F5}">
      <text>
        <r>
          <rPr>
            <sz val="9"/>
            <color indexed="81"/>
            <rFont val="Tahoma"/>
            <family val="2"/>
          </rPr>
          <t xml:space="preserve">AeBo: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</t>
        </r>
        <r>
          <rPr>
            <sz val="9"/>
            <color indexed="81"/>
            <rFont val="Calibri"/>
            <family val="2"/>
          </rPr>
          <t>≤Lelastisch</t>
        </r>
        <r>
          <rPr>
            <sz val="9"/>
            <color indexed="81"/>
            <rFont val="Tahoma"/>
            <family val="2"/>
          </rPr>
          <t xml:space="preserve">
empfoglen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x=0.1m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<sst xmlns="http://schemas.openxmlformats.org/spreadsheetml/2006/main" count="878" uniqueCount="299">
  <si>
    <t>Eingabefelder</t>
  </si>
  <si>
    <t>Schotteroberbau - Linke Seite</t>
  </si>
  <si>
    <t>Eingabe fertig</t>
  </si>
  <si>
    <t>Tabellarisch</t>
  </si>
  <si>
    <t>Stützpunktsteifigkeit</t>
  </si>
  <si>
    <t>Lage</t>
  </si>
  <si>
    <t>Einsenkungen</t>
  </si>
  <si>
    <t>Moment</t>
  </si>
  <si>
    <t>Spannungen</t>
  </si>
  <si>
    <t>max</t>
  </si>
  <si>
    <t>Stützpunktkraft</t>
  </si>
  <si>
    <t>Achslasten</t>
  </si>
  <si>
    <t>[to]</t>
  </si>
  <si>
    <t>[kN]</t>
  </si>
  <si>
    <t>Achsabstände</t>
  </si>
  <si>
    <t>[m]</t>
  </si>
  <si>
    <t>Zwischenlage</t>
  </si>
  <si>
    <t>x</t>
  </si>
  <si>
    <r>
      <rPr>
        <b/>
        <sz val="10"/>
        <color theme="1"/>
        <rFont val="Symbol"/>
        <family val="1"/>
        <charset val="2"/>
      </rPr>
      <t>w</t>
    </r>
    <r>
      <rPr>
        <b/>
        <sz val="10"/>
        <color theme="1"/>
        <rFont val="Arial"/>
        <family val="2"/>
      </rPr>
      <t>(x)</t>
    </r>
  </si>
  <si>
    <r>
      <t>M</t>
    </r>
    <r>
      <rPr>
        <b/>
        <vertAlign val="subscript"/>
        <sz val="10"/>
        <color theme="1"/>
        <rFont val="Arial"/>
        <family val="2"/>
      </rPr>
      <t>k</t>
    </r>
  </si>
  <si>
    <r>
      <t>M</t>
    </r>
    <r>
      <rPr>
        <b/>
        <vertAlign val="subscript"/>
        <sz val="10"/>
        <color theme="1"/>
        <rFont val="Arial"/>
        <family val="2"/>
      </rPr>
      <t>d</t>
    </r>
  </si>
  <si>
    <r>
      <rPr>
        <b/>
        <sz val="6"/>
        <color theme="1"/>
        <rFont val="Symbol"/>
        <family val="1"/>
        <charset val="2"/>
      </rPr>
      <t>s</t>
    </r>
    <r>
      <rPr>
        <b/>
        <vertAlign val="subscript"/>
        <sz val="6"/>
        <color theme="1"/>
        <rFont val="Arial"/>
        <family val="2"/>
      </rPr>
      <t xml:space="preserve">d </t>
    </r>
    <r>
      <rPr>
        <b/>
        <sz val="6"/>
        <color theme="1"/>
        <rFont val="Arial"/>
        <family val="2"/>
      </rPr>
      <t>nach DIN EN 16432-2)</t>
    </r>
  </si>
  <si>
    <r>
      <rPr>
        <b/>
        <sz val="8"/>
        <color theme="1"/>
        <rFont val="Symbol"/>
        <family val="1"/>
        <charset val="2"/>
      </rPr>
      <t>s</t>
    </r>
    <r>
      <rPr>
        <b/>
        <vertAlign val="subscript"/>
        <sz val="8"/>
        <color theme="1"/>
        <rFont val="Arial"/>
        <family val="2"/>
      </rPr>
      <t>d Reisezüge</t>
    </r>
  </si>
  <si>
    <r>
      <rPr>
        <b/>
        <sz val="8"/>
        <color theme="1"/>
        <rFont val="Symbol"/>
        <family val="1"/>
        <charset val="2"/>
      </rPr>
      <t>s</t>
    </r>
    <r>
      <rPr>
        <b/>
        <vertAlign val="subscript"/>
        <sz val="8"/>
        <color theme="1"/>
        <rFont val="Arial"/>
        <family val="2"/>
      </rPr>
      <t>d Güterzüge</t>
    </r>
  </si>
  <si>
    <t>S</t>
  </si>
  <si>
    <t>Achse 1</t>
  </si>
  <si>
    <t>Federsteifigkeit</t>
  </si>
  <si>
    <r>
      <t>k</t>
    </r>
    <r>
      <rPr>
        <vertAlign val="subscript"/>
        <sz val="10"/>
        <color theme="1"/>
        <rFont val="Arial"/>
        <family val="2"/>
      </rPr>
      <t>zw</t>
    </r>
    <r>
      <rPr>
        <sz val="11"/>
        <color theme="1"/>
        <rFont val="Calibri"/>
        <family val="2"/>
        <scheme val="minor"/>
      </rPr>
      <t>=</t>
    </r>
  </si>
  <si>
    <t>[kN/mm]</t>
  </si>
  <si>
    <t>[mm]</t>
  </si>
  <si>
    <t>[kNm]</t>
  </si>
  <si>
    <r>
      <t>[N/mm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]</t>
    </r>
  </si>
  <si>
    <t>Achse 2</t>
  </si>
  <si>
    <t>Achsabstand 1-2</t>
  </si>
  <si>
    <t>Besohlung</t>
  </si>
  <si>
    <t>Achse 3</t>
  </si>
  <si>
    <t>Achsabstand 2-3</t>
  </si>
  <si>
    <t>Bettungsmodul</t>
  </si>
  <si>
    <r>
      <t>C</t>
    </r>
    <r>
      <rPr>
        <vertAlign val="subscript"/>
        <sz val="10"/>
        <color theme="1"/>
        <rFont val="Arial"/>
        <family val="2"/>
      </rPr>
      <t>Besohlung</t>
    </r>
    <r>
      <rPr>
        <sz val="11"/>
        <color theme="1"/>
        <rFont val="Calibri"/>
        <family val="2"/>
        <scheme val="minor"/>
      </rPr>
      <t>=</t>
    </r>
  </si>
  <si>
    <r>
      <t>[N/mm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>]</t>
    </r>
  </si>
  <si>
    <t>Achse 4</t>
  </si>
  <si>
    <t>Achsabstand 3-4</t>
  </si>
  <si>
    <t>Stützfläche</t>
  </si>
  <si>
    <r>
      <t>A</t>
    </r>
    <r>
      <rPr>
        <vertAlign val="subscript"/>
        <sz val="10"/>
        <color theme="1"/>
        <rFont val="Arial"/>
        <family val="2"/>
      </rPr>
      <t>Besohlung</t>
    </r>
    <r>
      <rPr>
        <sz val="11"/>
        <color theme="1"/>
        <rFont val="Calibri"/>
        <family val="2"/>
        <scheme val="minor"/>
      </rPr>
      <t>=</t>
    </r>
  </si>
  <si>
    <r>
      <t>[m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]</t>
    </r>
  </si>
  <si>
    <t>Schiene</t>
  </si>
  <si>
    <r>
      <t>k</t>
    </r>
    <r>
      <rPr>
        <vertAlign val="subscript"/>
        <sz val="10"/>
        <color theme="1"/>
        <rFont val="Arial"/>
        <family val="2"/>
      </rPr>
      <t>Besohlung</t>
    </r>
    <r>
      <rPr>
        <sz val="11"/>
        <color theme="1"/>
        <rFont val="Calibri"/>
        <family val="2"/>
        <scheme val="minor"/>
      </rPr>
      <t>=</t>
    </r>
  </si>
  <si>
    <r>
      <t>[kN/mm</t>
    </r>
    <r>
      <rPr>
        <sz val="8"/>
        <color theme="1"/>
        <rFont val="Arial"/>
        <family val="2"/>
      </rPr>
      <t>]</t>
    </r>
  </si>
  <si>
    <t>Schienenprofil</t>
  </si>
  <si>
    <t>46E1</t>
  </si>
  <si>
    <t xml:space="preserve">Schotter </t>
  </si>
  <si>
    <t>E-Modul Stahl</t>
  </si>
  <si>
    <r>
      <t>E</t>
    </r>
    <r>
      <rPr>
        <vertAlign val="subscript"/>
        <sz val="10"/>
        <color theme="1"/>
        <rFont val="Arial"/>
        <family val="2"/>
      </rPr>
      <t>Schiene</t>
    </r>
    <r>
      <rPr>
        <sz val="11"/>
        <color theme="1"/>
        <rFont val="Calibri"/>
        <family val="2"/>
        <scheme val="minor"/>
      </rPr>
      <t>=</t>
    </r>
  </si>
  <si>
    <r>
      <t>[N/mm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]</t>
    </r>
  </si>
  <si>
    <r>
      <rPr>
        <sz val="10"/>
        <color theme="1"/>
        <rFont val="Arial"/>
        <family val="2"/>
      </rPr>
      <t>C</t>
    </r>
    <r>
      <rPr>
        <vertAlign val="subscript"/>
        <sz val="10"/>
        <color theme="1"/>
        <rFont val="Arial"/>
        <family val="2"/>
      </rPr>
      <t>Schotter</t>
    </r>
    <r>
      <rPr>
        <sz val="11"/>
        <color theme="1"/>
        <rFont val="Calibri"/>
        <family val="2"/>
        <scheme val="minor"/>
      </rPr>
      <t>=</t>
    </r>
  </si>
  <si>
    <t>Trägheitsmoment</t>
  </si>
  <si>
    <r>
      <t>I</t>
    </r>
    <r>
      <rPr>
        <vertAlign val="subscript"/>
        <sz val="10"/>
        <color theme="1"/>
        <rFont val="Arial"/>
        <family val="2"/>
      </rPr>
      <t>Schiene</t>
    </r>
    <r>
      <rPr>
        <sz val="11"/>
        <color theme="1"/>
        <rFont val="Calibri"/>
        <family val="2"/>
        <scheme val="minor"/>
      </rPr>
      <t>=</t>
    </r>
  </si>
  <si>
    <r>
      <t>[mm</t>
    </r>
    <r>
      <rPr>
        <vertAlign val="superscript"/>
        <sz val="8"/>
        <color theme="1"/>
        <rFont val="Arial"/>
        <family val="2"/>
      </rPr>
      <t>4</t>
    </r>
    <r>
      <rPr>
        <sz val="8"/>
        <color theme="1"/>
        <rFont val="Arial"/>
        <family val="2"/>
      </rPr>
      <t>]</t>
    </r>
  </si>
  <si>
    <r>
      <t>A</t>
    </r>
    <r>
      <rPr>
        <vertAlign val="subscript"/>
        <sz val="10"/>
        <color theme="1"/>
        <rFont val="Arial"/>
        <family val="2"/>
      </rPr>
      <t>Schotter</t>
    </r>
    <r>
      <rPr>
        <sz val="11"/>
        <color theme="1"/>
        <rFont val="Calibri"/>
        <family val="2"/>
        <scheme val="minor"/>
      </rPr>
      <t>=</t>
    </r>
  </si>
  <si>
    <t>Widerstandmoment</t>
  </si>
  <si>
    <r>
      <t>W</t>
    </r>
    <r>
      <rPr>
        <vertAlign val="subscript"/>
        <sz val="10"/>
        <color theme="1"/>
        <rFont val="Arial"/>
        <family val="2"/>
      </rPr>
      <t>Schiene</t>
    </r>
    <r>
      <rPr>
        <sz val="11"/>
        <color theme="1"/>
        <rFont val="Calibri"/>
        <family val="2"/>
        <scheme val="minor"/>
      </rPr>
      <t>=</t>
    </r>
  </si>
  <si>
    <r>
      <t>[mm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>]</t>
    </r>
  </si>
  <si>
    <r>
      <t>k</t>
    </r>
    <r>
      <rPr>
        <vertAlign val="subscript"/>
        <sz val="10"/>
        <color theme="1"/>
        <rFont val="Arial"/>
        <family val="2"/>
      </rPr>
      <t>Schotter</t>
    </r>
    <r>
      <rPr>
        <sz val="11"/>
        <color theme="1"/>
        <rFont val="Calibri"/>
        <family val="2"/>
        <scheme val="minor"/>
      </rPr>
      <t>=</t>
    </r>
  </si>
  <si>
    <t>Schwelle</t>
  </si>
  <si>
    <t>Schotterstärke</t>
  </si>
  <si>
    <r>
      <t>d</t>
    </r>
    <r>
      <rPr>
        <vertAlign val="subscript"/>
        <sz val="10"/>
        <color theme="1"/>
        <rFont val="Arial"/>
        <family val="2"/>
      </rPr>
      <t>Schotter</t>
    </r>
    <r>
      <rPr>
        <sz val="11"/>
        <color theme="1"/>
        <rFont val="Calibri"/>
        <family val="2"/>
        <scheme val="minor"/>
      </rPr>
      <t>=</t>
    </r>
  </si>
  <si>
    <t>m</t>
  </si>
  <si>
    <t>Schwellentyp</t>
  </si>
  <si>
    <t>B91</t>
  </si>
  <si>
    <t>Lastausbreitungswinkel</t>
  </si>
  <si>
    <r>
      <rPr>
        <sz val="10"/>
        <color theme="1"/>
        <rFont val="Symbol"/>
        <family val="1"/>
        <charset val="2"/>
      </rPr>
      <t>a</t>
    </r>
    <r>
      <rPr>
        <vertAlign val="subscript"/>
        <sz val="10"/>
        <color theme="1"/>
        <rFont val="Arial"/>
        <family val="2"/>
      </rPr>
      <t>Last</t>
    </r>
    <r>
      <rPr>
        <sz val="11"/>
        <color theme="1"/>
        <rFont val="Calibri"/>
        <family val="2"/>
        <scheme val="minor"/>
      </rPr>
      <t>=</t>
    </r>
  </si>
  <si>
    <t>°</t>
  </si>
  <si>
    <t>Länge der Schwelle</t>
  </si>
  <si>
    <r>
      <t>L</t>
    </r>
    <r>
      <rPr>
        <vertAlign val="subscript"/>
        <sz val="10"/>
        <color theme="1"/>
        <rFont val="Arial"/>
        <family val="2"/>
      </rPr>
      <t>Schwelle</t>
    </r>
    <r>
      <rPr>
        <sz val="11"/>
        <color theme="1"/>
        <rFont val="Calibri"/>
        <family val="2"/>
        <scheme val="minor"/>
      </rPr>
      <t>=</t>
    </r>
  </si>
  <si>
    <t>Unterschottermatte</t>
  </si>
  <si>
    <t>Breite der Schwelle</t>
  </si>
  <si>
    <r>
      <t>B</t>
    </r>
    <r>
      <rPr>
        <vertAlign val="subscript"/>
        <sz val="10"/>
        <color theme="1"/>
        <rFont val="Arial"/>
        <family val="2"/>
      </rPr>
      <t>Schwelle</t>
    </r>
    <r>
      <rPr>
        <sz val="11"/>
        <color theme="1"/>
        <rFont val="Calibri"/>
        <family val="2"/>
        <scheme val="minor"/>
      </rPr>
      <t>=</t>
    </r>
  </si>
  <si>
    <r>
      <t>C</t>
    </r>
    <r>
      <rPr>
        <vertAlign val="subscript"/>
        <sz val="10"/>
        <color theme="1"/>
        <rFont val="Arial"/>
        <family val="2"/>
      </rPr>
      <t>USM</t>
    </r>
    <r>
      <rPr>
        <sz val="11"/>
        <color theme="1"/>
        <rFont val="Calibri"/>
        <family val="2"/>
        <scheme val="minor"/>
      </rPr>
      <t>=</t>
    </r>
  </si>
  <si>
    <t>Auflagerfreie Länge unter der Schwelle</t>
  </si>
  <si>
    <r>
      <t>L</t>
    </r>
    <r>
      <rPr>
        <vertAlign val="subscript"/>
        <sz val="10"/>
        <color theme="1"/>
        <rFont val="Arial"/>
        <family val="2"/>
      </rPr>
      <t>Frei</t>
    </r>
    <r>
      <rPr>
        <sz val="11"/>
        <color theme="1"/>
        <rFont val="Calibri"/>
        <family val="2"/>
        <scheme val="minor"/>
      </rPr>
      <t>=</t>
    </r>
  </si>
  <si>
    <t>Stützfläche (A/2)</t>
  </si>
  <si>
    <r>
      <t>A</t>
    </r>
    <r>
      <rPr>
        <vertAlign val="subscript"/>
        <sz val="10"/>
        <color theme="1"/>
        <rFont val="Arial"/>
        <family val="2"/>
      </rPr>
      <t>USM</t>
    </r>
    <r>
      <rPr>
        <sz val="11"/>
        <color theme="1"/>
        <rFont val="Calibri"/>
        <family val="2"/>
        <scheme val="minor"/>
      </rPr>
      <t>=</t>
    </r>
  </si>
  <si>
    <t>Schwellenauflagerfläche</t>
  </si>
  <si>
    <r>
      <t>A</t>
    </r>
    <r>
      <rPr>
        <vertAlign val="subscript"/>
        <sz val="10"/>
        <color theme="1"/>
        <rFont val="Arial"/>
        <family val="2"/>
      </rPr>
      <t>Schwelle</t>
    </r>
    <r>
      <rPr>
        <sz val="11"/>
        <color theme="1"/>
        <rFont val="Calibri"/>
        <family val="2"/>
        <scheme val="minor"/>
      </rPr>
      <t>=</t>
    </r>
  </si>
  <si>
    <r>
      <t>k</t>
    </r>
    <r>
      <rPr>
        <vertAlign val="subscript"/>
        <sz val="10"/>
        <color theme="1"/>
        <rFont val="Arial"/>
        <family val="2"/>
      </rPr>
      <t>USM</t>
    </r>
    <r>
      <rPr>
        <sz val="11"/>
        <color theme="1"/>
        <rFont val="Calibri"/>
        <family val="2"/>
        <scheme val="minor"/>
      </rPr>
      <t>=</t>
    </r>
  </si>
  <si>
    <t>Stützpunktabstand</t>
  </si>
  <si>
    <t>Untergrund</t>
  </si>
  <si>
    <t>Schwellenabstand</t>
  </si>
  <si>
    <t>a=</t>
  </si>
  <si>
    <r>
      <t>C</t>
    </r>
    <r>
      <rPr>
        <vertAlign val="subscript"/>
        <sz val="10"/>
        <color theme="1"/>
        <rFont val="Arial"/>
        <family val="2"/>
      </rPr>
      <t>Untergrund</t>
    </r>
    <r>
      <rPr>
        <sz val="11"/>
        <color theme="1"/>
        <rFont val="Calibri"/>
        <family val="2"/>
        <scheme val="minor"/>
      </rPr>
      <t>=</t>
    </r>
  </si>
  <si>
    <t>Biegelinie</t>
  </si>
  <si>
    <r>
      <t>A</t>
    </r>
    <r>
      <rPr>
        <vertAlign val="subscript"/>
        <sz val="10"/>
        <color theme="1"/>
        <rFont val="Arial"/>
        <family val="2"/>
      </rPr>
      <t>Untergrund</t>
    </r>
    <r>
      <rPr>
        <sz val="11"/>
        <color theme="1"/>
        <rFont val="Calibri"/>
        <family val="2"/>
        <scheme val="minor"/>
      </rPr>
      <t>=</t>
    </r>
  </si>
  <si>
    <r>
      <rPr>
        <b/>
        <sz val="10"/>
        <rFont val="Symbol"/>
        <family val="1"/>
        <charset val="2"/>
      </rPr>
      <t>w</t>
    </r>
    <r>
      <rPr>
        <b/>
        <vertAlign val="subscript"/>
        <sz val="10"/>
        <rFont val="Arial"/>
        <family val="2"/>
      </rPr>
      <t>max</t>
    </r>
    <r>
      <rPr>
        <b/>
        <sz val="10"/>
        <rFont val="Arial"/>
        <family val="2"/>
      </rPr>
      <t>=</t>
    </r>
  </si>
  <si>
    <t>mm</t>
  </si>
  <si>
    <r>
      <t>k</t>
    </r>
    <r>
      <rPr>
        <vertAlign val="subscript"/>
        <sz val="10"/>
        <color theme="1"/>
        <rFont val="Arial"/>
        <family val="2"/>
      </rPr>
      <t>Untergrund</t>
    </r>
    <r>
      <rPr>
        <sz val="11"/>
        <color theme="1"/>
        <rFont val="Calibri"/>
        <family val="2"/>
        <scheme val="minor"/>
      </rPr>
      <t>=</t>
    </r>
  </si>
  <si>
    <t>Federsteifigkeit total</t>
  </si>
  <si>
    <t>Geometrie</t>
  </si>
  <si>
    <r>
      <t>k</t>
    </r>
    <r>
      <rPr>
        <vertAlign val="subscript"/>
        <sz val="10"/>
        <color theme="1"/>
        <rFont val="Arial"/>
        <family val="2"/>
      </rPr>
      <t>tot</t>
    </r>
    <r>
      <rPr>
        <sz val="11"/>
        <color theme="1"/>
        <rFont val="Calibri"/>
        <family val="2"/>
        <scheme val="minor"/>
      </rPr>
      <t>=</t>
    </r>
  </si>
  <si>
    <t>Länge der Schiene</t>
  </si>
  <si>
    <r>
      <t>L</t>
    </r>
    <r>
      <rPr>
        <vertAlign val="subscript"/>
        <sz val="10"/>
        <color theme="0"/>
        <rFont val="Arial"/>
        <family val="2"/>
      </rPr>
      <t>Schiene</t>
    </r>
    <r>
      <rPr>
        <sz val="11"/>
        <color theme="0"/>
        <rFont val="Calibri"/>
        <family val="2"/>
        <scheme val="minor"/>
      </rPr>
      <t>=</t>
    </r>
  </si>
  <si>
    <t>Elastische Länge</t>
  </si>
  <si>
    <t>Länge des Fahrzeugs (Achse)</t>
  </si>
  <si>
    <r>
      <t>L</t>
    </r>
    <r>
      <rPr>
        <vertAlign val="subscript"/>
        <sz val="10"/>
        <color theme="0"/>
        <rFont val="Arial"/>
        <family val="2"/>
      </rPr>
      <t>Fahrzeug</t>
    </r>
    <r>
      <rPr>
        <sz val="11"/>
        <color theme="0"/>
        <rFont val="Calibri"/>
        <family val="2"/>
        <scheme val="minor"/>
      </rPr>
      <t>=</t>
    </r>
  </si>
  <si>
    <r>
      <t>L</t>
    </r>
    <r>
      <rPr>
        <vertAlign val="subscript"/>
        <sz val="10"/>
        <color theme="1"/>
        <rFont val="Arial"/>
        <family val="2"/>
      </rPr>
      <t>elastisch</t>
    </r>
    <r>
      <rPr>
        <sz val="11"/>
        <color theme="1"/>
        <rFont val="Calibri"/>
        <family val="2"/>
        <scheme val="minor"/>
      </rPr>
      <t>=</t>
    </r>
  </si>
  <si>
    <r>
      <t>Lage der Fahrzeugsachse 1 (Q</t>
    </r>
    <r>
      <rPr>
        <vertAlign val="subscript"/>
        <sz val="8"/>
        <color theme="0"/>
        <rFont val="Arial"/>
        <family val="2"/>
      </rPr>
      <t>1</t>
    </r>
    <r>
      <rPr>
        <sz val="8"/>
        <color theme="0"/>
        <rFont val="Arial"/>
        <family val="2"/>
      </rPr>
      <t>)</t>
    </r>
  </si>
  <si>
    <r>
      <t>x</t>
    </r>
    <r>
      <rPr>
        <vertAlign val="subscript"/>
        <sz val="10"/>
        <color theme="0"/>
        <rFont val="Arial"/>
        <family val="2"/>
      </rPr>
      <t>1</t>
    </r>
    <r>
      <rPr>
        <sz val="11"/>
        <color theme="0"/>
        <rFont val="Calibri"/>
        <family val="2"/>
        <scheme val="minor"/>
      </rPr>
      <t>=</t>
    </r>
  </si>
  <si>
    <r>
      <t>Lage der Fahrzeugsachse 2 (Q</t>
    </r>
    <r>
      <rPr>
        <vertAlign val="subscript"/>
        <sz val="8"/>
        <color theme="0"/>
        <rFont val="Arial"/>
        <family val="2"/>
      </rPr>
      <t>2</t>
    </r>
    <r>
      <rPr>
        <sz val="8"/>
        <color theme="0"/>
        <rFont val="Arial"/>
        <family val="2"/>
      </rPr>
      <t>)</t>
    </r>
  </si>
  <si>
    <r>
      <t>x</t>
    </r>
    <r>
      <rPr>
        <vertAlign val="subscript"/>
        <sz val="10"/>
        <color theme="0"/>
        <rFont val="Arial"/>
        <family val="2"/>
      </rPr>
      <t>2</t>
    </r>
    <r>
      <rPr>
        <sz val="11"/>
        <color theme="0"/>
        <rFont val="Calibri"/>
        <family val="2"/>
        <scheme val="minor"/>
      </rPr>
      <t>=</t>
    </r>
  </si>
  <si>
    <r>
      <t>Lage der Fahrzeugsachse 3 (Q</t>
    </r>
    <r>
      <rPr>
        <vertAlign val="subscript"/>
        <sz val="8"/>
        <color theme="0"/>
        <rFont val="Arial"/>
        <family val="2"/>
      </rPr>
      <t>3</t>
    </r>
    <r>
      <rPr>
        <sz val="8"/>
        <color theme="0"/>
        <rFont val="Arial"/>
        <family val="2"/>
      </rPr>
      <t>)</t>
    </r>
  </si>
  <si>
    <r>
      <t>x</t>
    </r>
    <r>
      <rPr>
        <vertAlign val="subscript"/>
        <sz val="10"/>
        <color theme="0"/>
        <rFont val="Arial"/>
        <family val="2"/>
      </rPr>
      <t>3</t>
    </r>
    <r>
      <rPr>
        <sz val="11"/>
        <color theme="0"/>
        <rFont val="Calibri"/>
        <family val="2"/>
        <scheme val="minor"/>
      </rPr>
      <t>=</t>
    </r>
  </si>
  <si>
    <r>
      <t>Lage der Fahrzeugsachse 4 (Q</t>
    </r>
    <r>
      <rPr>
        <vertAlign val="subscript"/>
        <sz val="8"/>
        <color theme="0"/>
        <rFont val="Arial"/>
        <family val="2"/>
      </rPr>
      <t>4</t>
    </r>
    <r>
      <rPr>
        <sz val="8"/>
        <color theme="0"/>
        <rFont val="Arial"/>
        <family val="2"/>
      </rPr>
      <t>)</t>
    </r>
  </si>
  <si>
    <r>
      <t>x</t>
    </r>
    <r>
      <rPr>
        <vertAlign val="subscript"/>
        <sz val="10"/>
        <color theme="0"/>
        <rFont val="Arial"/>
        <family val="2"/>
      </rPr>
      <t>4</t>
    </r>
    <r>
      <rPr>
        <sz val="11"/>
        <color theme="0"/>
        <rFont val="Calibri"/>
        <family val="2"/>
        <scheme val="minor"/>
      </rPr>
      <t>=</t>
    </r>
  </si>
  <si>
    <t>Abszisse des Anfanges des Schienenabschnittes</t>
  </si>
  <si>
    <r>
      <t>x</t>
    </r>
    <r>
      <rPr>
        <vertAlign val="subscript"/>
        <sz val="10"/>
        <color theme="0"/>
        <rFont val="Arial"/>
        <family val="2"/>
      </rPr>
      <t>0</t>
    </r>
    <r>
      <rPr>
        <sz val="11"/>
        <color theme="0"/>
        <rFont val="Calibri"/>
        <family val="2"/>
        <scheme val="minor"/>
      </rPr>
      <t>=</t>
    </r>
  </si>
  <si>
    <t>Berechnungsschritt (charakteristische Länge der Schiene)</t>
  </si>
  <si>
    <r>
      <rPr>
        <sz val="10"/>
        <color theme="0"/>
        <rFont val="Symbol"/>
        <family val="1"/>
        <charset val="2"/>
      </rPr>
      <t>D</t>
    </r>
    <r>
      <rPr>
        <sz val="11"/>
        <color theme="0"/>
        <rFont val="Calibri"/>
        <family val="2"/>
        <scheme val="minor"/>
      </rPr>
      <t>x=</t>
    </r>
  </si>
  <si>
    <t>Lager der Achsen</t>
  </si>
  <si>
    <t>y</t>
  </si>
  <si>
    <t>Skalierung Lastsymbol</t>
  </si>
  <si>
    <t xml:space="preserve">maximale Einsenkung </t>
  </si>
  <si>
    <t>Einsenkung unter jeweiligem  Rad (bei kleinen Achsabständen sind die Werte der maximalen Einsenkungen nicht direkt  unmittelbar unter den Rädern)</t>
  </si>
  <si>
    <t>Rad 1</t>
  </si>
  <si>
    <r>
      <t>x</t>
    </r>
    <r>
      <rPr>
        <i/>
        <vertAlign val="sub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=</t>
    </r>
  </si>
  <si>
    <t>Rad 2</t>
  </si>
  <si>
    <r>
      <t>x</t>
    </r>
    <r>
      <rPr>
        <i/>
        <vertAlign val="sub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>=</t>
    </r>
  </si>
  <si>
    <t>Rad 3</t>
  </si>
  <si>
    <r>
      <t>x</t>
    </r>
    <r>
      <rPr>
        <i/>
        <vertAlign val="sub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=</t>
    </r>
  </si>
  <si>
    <t>Rad 4</t>
  </si>
  <si>
    <r>
      <t>x</t>
    </r>
    <r>
      <rPr>
        <i/>
        <vertAlign val="sub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=</t>
    </r>
  </si>
  <si>
    <t>Schienenspannungen nach DIN EN 16432-1</t>
  </si>
  <si>
    <t>Faktor zur Steigerung der statischen Radlast durch zusätzliche vertiklale Belastungen: EN 164321-1:2017, 5.1.2.5</t>
  </si>
  <si>
    <r>
      <t>k</t>
    </r>
    <r>
      <rPr>
        <vertAlign val="subscript"/>
        <sz val="8"/>
        <color theme="1"/>
        <rFont val="Arial"/>
        <family val="2"/>
      </rPr>
      <t>q</t>
    </r>
    <r>
      <rPr>
        <sz val="8"/>
        <color theme="1"/>
        <rFont val="Arial"/>
        <family val="2"/>
      </rPr>
      <t>=</t>
    </r>
  </si>
  <si>
    <t>Dynamischer Lastfaktor: EN 16432-1:2017, 5.1.2.6</t>
  </si>
  <si>
    <r>
      <t>k</t>
    </r>
    <r>
      <rPr>
        <vertAlign val="subscript"/>
        <sz val="8"/>
        <color theme="1"/>
        <rFont val="Arial"/>
        <family val="2"/>
      </rPr>
      <t>d</t>
    </r>
    <r>
      <rPr>
        <sz val="8"/>
        <color theme="1"/>
        <rFont val="Arial"/>
        <family val="2"/>
      </rPr>
      <t>=</t>
    </r>
  </si>
  <si>
    <r>
      <t>Maximales Biegemoment (Bemessungswert mit k</t>
    </r>
    <r>
      <rPr>
        <b/>
        <vertAlign val="subscript"/>
        <sz val="8"/>
        <rFont val="Arial"/>
        <family val="2"/>
      </rPr>
      <t>d</t>
    </r>
    <r>
      <rPr>
        <b/>
        <sz val="8"/>
        <rFont val="Arial"/>
        <family val="2"/>
      </rPr>
      <t xml:space="preserve"> und k</t>
    </r>
    <r>
      <rPr>
        <b/>
        <vertAlign val="subscript"/>
        <sz val="8"/>
        <rFont val="Arial"/>
        <family val="2"/>
      </rPr>
      <t>q</t>
    </r>
    <r>
      <rPr>
        <b/>
        <sz val="8"/>
        <rFont val="Arial"/>
        <family val="2"/>
      </rPr>
      <t>):</t>
    </r>
  </si>
  <si>
    <t>kNm</t>
  </si>
  <si>
    <t>Maximale Spannung</t>
  </si>
  <si>
    <r>
      <t>N/mm</t>
    </r>
    <r>
      <rPr>
        <b/>
        <vertAlign val="superscript"/>
        <sz val="8"/>
        <rFont val="Arial"/>
        <family val="2"/>
      </rPr>
      <t>2</t>
    </r>
  </si>
  <si>
    <t>Schienenspannungen nach Beton Kalender 2015 S. 544 - S. 545</t>
  </si>
  <si>
    <t>Geschwindigkeit der Reisezüge</t>
  </si>
  <si>
    <r>
      <t>V</t>
    </r>
    <r>
      <rPr>
        <vertAlign val="subscript"/>
        <sz val="8"/>
        <color theme="1"/>
        <rFont val="Arial Narrow"/>
        <family val="2"/>
      </rPr>
      <t>Reisezüge</t>
    </r>
    <r>
      <rPr>
        <sz val="8"/>
        <color theme="1"/>
        <rFont val="Arial Narrow"/>
        <family val="2"/>
      </rPr>
      <t>=</t>
    </r>
  </si>
  <si>
    <t>km/h</t>
  </si>
  <si>
    <t>Geschwindigkeit der Güterzüge</t>
  </si>
  <si>
    <r>
      <t>V</t>
    </r>
    <r>
      <rPr>
        <vertAlign val="subscript"/>
        <sz val="8"/>
        <color theme="1"/>
        <rFont val="Arial Narrow"/>
        <family val="2"/>
      </rPr>
      <t>Güterzüge</t>
    </r>
    <r>
      <rPr>
        <sz val="8"/>
        <color theme="1"/>
        <rFont val="Arial Narrow"/>
        <family val="2"/>
      </rPr>
      <t>=</t>
    </r>
  </si>
  <si>
    <t>Zuschläge aus Radkraftverlagerung und Fahrdynamik</t>
  </si>
  <si>
    <t>Geschwindigkeitsbeiwert  Reisezüge</t>
  </si>
  <si>
    <r>
      <rPr>
        <sz val="10"/>
        <color theme="1"/>
        <rFont val="Symbol"/>
        <family val="1"/>
        <charset val="2"/>
      </rPr>
      <t>f</t>
    </r>
    <r>
      <rPr>
        <vertAlign val="subscript"/>
        <sz val="10"/>
        <color theme="1"/>
        <rFont val="Arial"/>
        <family val="2"/>
      </rPr>
      <t>Reisezüge</t>
    </r>
  </si>
  <si>
    <t>Geschwindigkeitsbeiwert Güterzüge</t>
  </si>
  <si>
    <r>
      <rPr>
        <sz val="10"/>
        <color theme="1"/>
        <rFont val="Symbol"/>
        <family val="1"/>
        <charset val="2"/>
      </rPr>
      <t>f</t>
    </r>
    <r>
      <rPr>
        <vertAlign val="subscript"/>
        <sz val="10"/>
        <color theme="1"/>
        <rFont val="Arial"/>
        <family val="2"/>
      </rPr>
      <t>Güterzüge</t>
    </r>
  </si>
  <si>
    <t>Faktor für Radkraftverlagerung (±20% positiv bei bogenäußerer Schiene, negativ bei bogeninnerer Schiene)</t>
  </si>
  <si>
    <t>Oberbauzustand:</t>
  </si>
  <si>
    <t>Faktor</t>
  </si>
  <si>
    <t>sehr guter Oberbauzustand</t>
  </si>
  <si>
    <t>Faktor n</t>
  </si>
  <si>
    <t>guter Oberbauzustand</t>
  </si>
  <si>
    <t>schlechter Oberbauzustand</t>
  </si>
  <si>
    <t>Maximales Biegemoment (charakteristisch):</t>
  </si>
  <si>
    <t>Maximale Spannung Reisezüge</t>
  </si>
  <si>
    <t>Maximale Spannung Güterzüge</t>
  </si>
  <si>
    <t xml:space="preserve">Elastische Elemente </t>
  </si>
  <si>
    <t xml:space="preserve">Hauptgleis </t>
  </si>
  <si>
    <t>Besohlungstyp</t>
  </si>
  <si>
    <t>keine</t>
  </si>
  <si>
    <r>
      <rPr>
        <sz val="8"/>
        <color theme="1"/>
        <rFont val="Calibri"/>
        <family val="2"/>
      </rPr>
      <t>←</t>
    </r>
    <r>
      <rPr>
        <sz val="8"/>
        <color theme="1"/>
        <rFont val="Arial"/>
        <family val="2"/>
      </rPr>
      <t xml:space="preserve"> Auswahl</t>
    </r>
  </si>
  <si>
    <t>E-Modul</t>
  </si>
  <si>
    <r>
      <t>E</t>
    </r>
    <r>
      <rPr>
        <vertAlign val="subscript"/>
        <sz val="10"/>
        <color theme="1"/>
        <rFont val="Arial"/>
        <family val="2"/>
      </rPr>
      <t>Schotter</t>
    </r>
    <r>
      <rPr>
        <sz val="11"/>
        <color theme="1"/>
        <rFont val="Calibri"/>
        <family val="2"/>
        <scheme val="minor"/>
      </rPr>
      <t>=</t>
    </r>
  </si>
  <si>
    <t>Holzschwelle (2 m, 0,26)</t>
  </si>
  <si>
    <t>geeignet für Profile</t>
  </si>
  <si>
    <t>zulässige Achslast</t>
  </si>
  <si>
    <t>USM-Typ</t>
  </si>
  <si>
    <t>Auflagerfreie Länge</t>
  </si>
  <si>
    <r>
      <t>[mm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]</t>
    </r>
  </si>
  <si>
    <t>Verfahren nach Odemark</t>
  </si>
  <si>
    <t>nein</t>
  </si>
  <si>
    <t>maximale Einsenkung (stat.)</t>
  </si>
  <si>
    <t>maximale Einsenkung:</t>
  </si>
  <si>
    <t>Schienenabhebung:</t>
  </si>
  <si>
    <t>Faktor für Radkraftverlagerung</t>
  </si>
  <si>
    <t>25% gemäss EN 164321-1:2017, 5.1.2.5 (kq=1.25)</t>
  </si>
  <si>
    <t>Faktor n = 0.1</t>
  </si>
  <si>
    <t>Faktor n = 0.2</t>
  </si>
  <si>
    <t>Faktor n = 0.3</t>
  </si>
  <si>
    <r>
      <t>s</t>
    </r>
    <r>
      <rPr>
        <i/>
        <vertAlign val="subscript"/>
        <sz val="8"/>
        <color theme="1"/>
        <rFont val="Arial"/>
        <family val="2"/>
      </rPr>
      <t>Reisezug</t>
    </r>
    <r>
      <rPr>
        <i/>
        <sz val="8"/>
        <color theme="1"/>
        <rFont val="Arial"/>
        <family val="2"/>
      </rPr>
      <t xml:space="preserve"> =</t>
    </r>
  </si>
  <si>
    <r>
      <t>s</t>
    </r>
    <r>
      <rPr>
        <i/>
        <vertAlign val="subscript"/>
        <sz val="8"/>
        <color theme="1"/>
        <rFont val="Arial"/>
        <family val="2"/>
      </rPr>
      <t>Güterzug</t>
    </r>
    <r>
      <rPr>
        <i/>
        <sz val="8"/>
        <color theme="1"/>
        <rFont val="Arial"/>
        <family val="2"/>
      </rPr>
      <t xml:space="preserve"> =</t>
    </r>
  </si>
  <si>
    <t xml:space="preserve">Statischtische Sicherheit </t>
  </si>
  <si>
    <t xml:space="preserve">t = </t>
  </si>
  <si>
    <t>maximale Radlast</t>
  </si>
  <si>
    <r>
      <t xml:space="preserve">Q </t>
    </r>
    <r>
      <rPr>
        <vertAlign val="subscript"/>
        <sz val="11"/>
        <color theme="1"/>
        <rFont val="Calibri"/>
        <family val="2"/>
        <scheme val="minor"/>
      </rPr>
      <t xml:space="preserve">max,k </t>
    </r>
    <r>
      <rPr>
        <sz val="11"/>
        <color theme="1"/>
        <rFont val="Calibri"/>
        <family val="2"/>
        <scheme val="minor"/>
      </rPr>
      <t xml:space="preserve">= Q </t>
    </r>
    <r>
      <rPr>
        <vertAlign val="subscript"/>
        <sz val="11"/>
        <color theme="1"/>
        <rFont val="Calibri"/>
        <family val="2"/>
        <scheme val="minor"/>
      </rPr>
      <t>mittel,k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•</t>
    </r>
    <r>
      <rPr>
        <sz val="11"/>
        <color theme="1"/>
        <rFont val="Calibri"/>
        <family val="2"/>
        <scheme val="minor"/>
      </rPr>
      <t xml:space="preserve"> (1 + t </t>
    </r>
    <r>
      <rPr>
        <sz val="8"/>
        <color theme="1"/>
        <rFont val="Calibri"/>
        <family val="2"/>
      </rPr>
      <t>•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s) =</t>
    </r>
  </si>
  <si>
    <r>
      <rPr>
        <sz val="8"/>
        <color theme="1"/>
        <rFont val="Calibri"/>
        <family val="2"/>
        <scheme val="minor"/>
      </rPr>
      <t>•</t>
    </r>
    <r>
      <rPr>
        <sz val="11"/>
        <color theme="1"/>
        <rFont val="Calibri"/>
        <family val="2"/>
        <scheme val="minor"/>
      </rPr>
      <t xml:space="preserve"> Q </t>
    </r>
    <r>
      <rPr>
        <vertAlign val="subscript"/>
        <sz val="11"/>
        <color theme="1"/>
        <rFont val="Calibri"/>
        <family val="2"/>
        <scheme val="minor"/>
      </rPr>
      <t xml:space="preserve">mittel,k </t>
    </r>
  </si>
  <si>
    <t>für Reisezug</t>
  </si>
  <si>
    <t>für Güterzug</t>
  </si>
  <si>
    <r>
      <t xml:space="preserve">Q </t>
    </r>
    <r>
      <rPr>
        <vertAlign val="subscript"/>
        <sz val="11"/>
        <color theme="1"/>
        <rFont val="Calibri"/>
        <family val="2"/>
        <scheme val="minor"/>
      </rPr>
      <t>mittel,k</t>
    </r>
    <r>
      <rPr>
        <sz val="11"/>
        <color theme="1"/>
        <rFont val="Calibri"/>
        <family val="2"/>
        <scheme val="minor"/>
      </rPr>
      <t xml:space="preserve">  =</t>
    </r>
  </si>
  <si>
    <r>
      <rPr>
        <sz val="8"/>
        <color theme="1"/>
        <rFont val="Calibri"/>
        <family val="2"/>
        <scheme val="minor"/>
      </rPr>
      <t>•</t>
    </r>
    <r>
      <rPr>
        <sz val="11"/>
        <color theme="1"/>
        <rFont val="Calibri"/>
        <family val="2"/>
        <scheme val="minor"/>
      </rPr>
      <t xml:space="preserve"> Q </t>
    </r>
    <r>
      <rPr>
        <vertAlign val="subscript"/>
        <sz val="11"/>
        <color theme="1"/>
        <rFont val="Calibri"/>
        <family val="2"/>
        <scheme val="minor"/>
      </rPr>
      <t xml:space="preserve">Radlast,k </t>
    </r>
  </si>
  <si>
    <r>
      <t xml:space="preserve">Q </t>
    </r>
    <r>
      <rPr>
        <vertAlign val="subscript"/>
        <sz val="11"/>
        <color theme="1"/>
        <rFont val="Calibri"/>
        <family val="2"/>
        <scheme val="minor"/>
      </rPr>
      <t xml:space="preserve">max,k </t>
    </r>
    <r>
      <rPr>
        <sz val="11"/>
        <color theme="1"/>
        <rFont val="Calibri"/>
        <family val="2"/>
        <scheme val="minor"/>
      </rPr>
      <t>=</t>
    </r>
  </si>
  <si>
    <t>Nachweis gemäss AB EBV Art. 31 Ziffer 4.5</t>
  </si>
  <si>
    <t>maximale berechnete Spannung</t>
  </si>
  <si>
    <t>Personenzüge</t>
  </si>
  <si>
    <r>
      <rPr>
        <b/>
        <i/>
        <sz val="8"/>
        <color theme="1"/>
        <rFont val="Symbol"/>
        <family val="1"/>
        <charset val="2"/>
      </rPr>
      <t>s</t>
    </r>
    <r>
      <rPr>
        <b/>
        <i/>
        <vertAlign val="subscript"/>
        <sz val="8"/>
        <color theme="1"/>
        <rFont val="Arial"/>
        <family val="2"/>
      </rPr>
      <t>P. D</t>
    </r>
    <r>
      <rPr>
        <b/>
        <i/>
        <vertAlign val="subscript"/>
        <sz val="8"/>
        <color theme="1"/>
        <rFont val="Arial Narrow"/>
        <family val="2"/>
      </rPr>
      <t>max</t>
    </r>
    <r>
      <rPr>
        <b/>
        <i/>
        <sz val="8"/>
        <color theme="1"/>
        <rFont val="Arial Narrow"/>
        <family val="2"/>
      </rPr>
      <t>=</t>
    </r>
  </si>
  <si>
    <t>Güterzüge</t>
  </si>
  <si>
    <r>
      <rPr>
        <b/>
        <i/>
        <sz val="8"/>
        <color theme="1"/>
        <rFont val="Symbol"/>
        <family val="1"/>
        <charset val="2"/>
      </rPr>
      <t>s</t>
    </r>
    <r>
      <rPr>
        <b/>
        <i/>
        <vertAlign val="subscript"/>
        <sz val="8"/>
        <color theme="1"/>
        <rFont val="Arial"/>
        <family val="2"/>
      </rPr>
      <t>G. D</t>
    </r>
    <r>
      <rPr>
        <b/>
        <i/>
        <vertAlign val="subscript"/>
        <sz val="8"/>
        <color theme="1"/>
        <rFont val="Arial Narrow"/>
        <family val="2"/>
      </rPr>
      <t>max</t>
    </r>
    <r>
      <rPr>
        <b/>
        <i/>
        <sz val="8"/>
        <color theme="1"/>
        <rFont val="Arial Narrow"/>
        <family val="2"/>
      </rPr>
      <t>=</t>
    </r>
  </si>
  <si>
    <t>Zulässige Spannung</t>
  </si>
  <si>
    <r>
      <rPr>
        <b/>
        <i/>
        <sz val="8"/>
        <color theme="1"/>
        <rFont val="Symbol"/>
        <family val="1"/>
        <charset val="2"/>
      </rPr>
      <t>s</t>
    </r>
    <r>
      <rPr>
        <b/>
        <i/>
        <vertAlign val="subscript"/>
        <sz val="8"/>
        <color theme="1"/>
        <rFont val="Arial"/>
        <family val="2"/>
      </rPr>
      <t>D. D</t>
    </r>
    <r>
      <rPr>
        <b/>
        <i/>
        <vertAlign val="subscript"/>
        <sz val="8"/>
        <color theme="1"/>
        <rFont val="Arial Narrow"/>
        <family val="2"/>
      </rPr>
      <t>max</t>
    </r>
    <r>
      <rPr>
        <b/>
        <i/>
        <sz val="8"/>
        <color theme="1"/>
        <rFont val="Arial Narrow"/>
        <family val="2"/>
      </rPr>
      <t>=</t>
    </r>
  </si>
  <si>
    <t>Typ</t>
  </si>
  <si>
    <t xml:space="preserve">Zw weich </t>
  </si>
  <si>
    <t>54E2</t>
  </si>
  <si>
    <t>Einlegeplatten</t>
  </si>
  <si>
    <t>Plattentyp</t>
  </si>
  <si>
    <t>Typ 1 - LVT-HA</t>
  </si>
  <si>
    <t>Federsteifikeit</t>
  </si>
  <si>
    <t>Prüfung Plattentyp</t>
  </si>
  <si>
    <t xml:space="preserve">LVT-Block </t>
  </si>
  <si>
    <t>Gummischuh</t>
  </si>
  <si>
    <t>Blocktyp</t>
  </si>
  <si>
    <t>LVT-HA</t>
  </si>
  <si>
    <r>
      <t>k</t>
    </r>
    <r>
      <rPr>
        <vertAlign val="subscript"/>
        <sz val="10"/>
        <color theme="1"/>
        <rFont val="Arial"/>
        <family val="2"/>
      </rPr>
      <t>Gummischuh</t>
    </r>
    <r>
      <rPr>
        <sz val="11"/>
        <color theme="1"/>
        <rFont val="Calibri"/>
        <family val="2"/>
        <scheme val="minor"/>
      </rPr>
      <t>=</t>
    </r>
  </si>
  <si>
    <t>Länge des Blocks</t>
  </si>
  <si>
    <t>Breite des Blocks</t>
  </si>
  <si>
    <t>Auflagerfläche</t>
  </si>
  <si>
    <r>
      <t>L</t>
    </r>
    <r>
      <rPr>
        <vertAlign val="subscript"/>
        <sz val="10"/>
        <rFont val="Arial"/>
        <family val="2"/>
      </rPr>
      <t>elastisch</t>
    </r>
    <r>
      <rPr>
        <sz val="11"/>
        <rFont val="Calibri"/>
        <family val="2"/>
        <scheme val="minor"/>
      </rPr>
      <t>=</t>
    </r>
  </si>
  <si>
    <t>Schienenprofile</t>
  </si>
  <si>
    <t>Profil</t>
  </si>
  <si>
    <t>VST-C</t>
  </si>
  <si>
    <t>36E3</t>
  </si>
  <si>
    <t>41E1</t>
  </si>
  <si>
    <t>49E1</t>
  </si>
  <si>
    <t>54E1</t>
  </si>
  <si>
    <t>s</t>
  </si>
  <si>
    <r>
      <t>L</t>
    </r>
    <r>
      <rPr>
        <vertAlign val="subscript"/>
        <sz val="8"/>
        <color theme="1"/>
        <rFont val="Arial"/>
        <family val="2"/>
      </rPr>
      <t>A</t>
    </r>
  </si>
  <si>
    <t>Schieneprofil</t>
  </si>
  <si>
    <t>Monoblock Typ B 87 M</t>
  </si>
  <si>
    <r>
      <t>[m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]</t>
    </r>
  </si>
  <si>
    <t>Monoblock Typ B 94 M</t>
  </si>
  <si>
    <t>VöV-4 M2 M4</t>
  </si>
  <si>
    <t>41E1, 46E1, 49E1, 54E2</t>
  </si>
  <si>
    <t>Monoblock Typ B 84 M</t>
  </si>
  <si>
    <t>36E3, 46E1, 49E1</t>
  </si>
  <si>
    <t>Monoblock Typ B 84 M II</t>
  </si>
  <si>
    <t>36E3 und weitere</t>
  </si>
  <si>
    <t>Holzschwelle (2 m, 0,24)</t>
  </si>
  <si>
    <t>keine Angabe</t>
  </si>
  <si>
    <t>Holzschwelle (1.8 m, 0,24)</t>
  </si>
  <si>
    <t>Holzschwelle (1.8 m, 0,26)</t>
  </si>
  <si>
    <t>Y-Stahlschwelle Typ S15</t>
  </si>
  <si>
    <t>Stahlschwelle L = 2.00 m</t>
  </si>
  <si>
    <t>36E3, 46E1</t>
  </si>
  <si>
    <t>Stahlschwelle L = 1.85 m</t>
  </si>
  <si>
    <t>VST-C, 36E3</t>
  </si>
  <si>
    <t>46E1, 54E2</t>
  </si>
  <si>
    <t>LVT</t>
  </si>
  <si>
    <t xml:space="preserve">Nebengleis </t>
  </si>
  <si>
    <t>Y-Stahlschwellen</t>
  </si>
  <si>
    <t>Besohlungen</t>
  </si>
  <si>
    <t>Zwischenlagen</t>
  </si>
  <si>
    <t xml:space="preserve">Einlageplatten </t>
  </si>
  <si>
    <t>Typ 1</t>
  </si>
  <si>
    <t>Typ 2</t>
  </si>
  <si>
    <t>SLB3007</t>
  </si>
  <si>
    <t>N/mm3</t>
  </si>
  <si>
    <t>kN/mm</t>
  </si>
  <si>
    <t>SLB2210</t>
  </si>
  <si>
    <t>Zw mittel</t>
  </si>
  <si>
    <t>Typ 2 - LVT-HA</t>
  </si>
  <si>
    <t>SLS1308</t>
  </si>
  <si>
    <t>Zw steif</t>
  </si>
  <si>
    <t>USP-7-S-3035</t>
  </si>
  <si>
    <t>Müller M02</t>
  </si>
  <si>
    <t>USM</t>
  </si>
  <si>
    <t>ja</t>
  </si>
  <si>
    <t>D1019</t>
  </si>
  <si>
    <t>D1519</t>
  </si>
  <si>
    <t>D619</t>
  </si>
  <si>
    <t>DN619</t>
  </si>
  <si>
    <t>DN319</t>
  </si>
  <si>
    <t>CN225</t>
  </si>
  <si>
    <t>Berechnung der Tragschichten Variante 1 – mit Verbund</t>
  </si>
  <si>
    <t xml:space="preserve">mit </t>
  </si>
  <si>
    <t xml:space="preserve">c = </t>
  </si>
  <si>
    <t>Tragschicht mit</t>
  </si>
  <si>
    <t>hydraulischen</t>
  </si>
  <si>
    <t>Bindemittel</t>
  </si>
  <si>
    <t>bituminösem</t>
  </si>
  <si>
    <r>
      <t>Höhe h</t>
    </r>
    <r>
      <rPr>
        <vertAlign val="subscript"/>
        <sz val="11"/>
        <color theme="1"/>
        <rFont val="Calibri"/>
        <family val="2"/>
        <scheme val="minor"/>
      </rPr>
      <t>1</t>
    </r>
  </si>
  <si>
    <r>
      <t>Höhe h</t>
    </r>
    <r>
      <rPr>
        <vertAlign val="subscript"/>
        <sz val="11"/>
        <color theme="1"/>
        <rFont val="Calibri"/>
        <family val="2"/>
        <scheme val="minor"/>
      </rPr>
      <t>2</t>
    </r>
  </si>
  <si>
    <r>
      <t>E-Modul E</t>
    </r>
    <r>
      <rPr>
        <vertAlign val="subscript"/>
        <sz val="11"/>
        <color theme="1"/>
        <rFont val="Calibri"/>
        <family val="2"/>
        <scheme val="minor"/>
      </rPr>
      <t>1</t>
    </r>
  </si>
  <si>
    <r>
      <t>N/mm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</si>
  <si>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Asphalttragschicht: E-Modul im Winter 10000 N/mm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und im Sommer 1000 N/mm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Mittelwert: 5000 N/mm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</si>
  <si>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E-Modul E</t>
    </r>
    <r>
      <rPr>
        <vertAlign val="subscript"/>
        <sz val="11"/>
        <color theme="1"/>
        <rFont val="Calibri"/>
        <family val="2"/>
        <scheme val="minor"/>
      </rPr>
      <t>2</t>
    </r>
  </si>
  <si>
    <r>
      <t>hydraulisch/bituminös gebundene Tragschicht (HGT/BTG): E-Modulk liegt zwischen 5000 - 10000 N/mm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</si>
  <si>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E-Modul E</t>
    </r>
    <r>
      <rPr>
        <vertAlign val="subscript"/>
        <sz val="11"/>
        <color theme="1"/>
        <rFont val="Calibri"/>
        <family val="2"/>
        <scheme val="minor"/>
      </rPr>
      <t>3</t>
    </r>
  </si>
  <si>
    <r>
      <t>Frostschutzschicht E</t>
    </r>
    <r>
      <rPr>
        <vertAlign val="subscript"/>
        <sz val="11"/>
        <color theme="1"/>
        <rFont val="Calibri"/>
        <family val="2"/>
        <scheme val="minor"/>
      </rPr>
      <t>v2</t>
    </r>
    <r>
      <rPr>
        <sz val="11"/>
        <color theme="1"/>
        <rFont val="Calibri"/>
        <family val="2"/>
        <scheme val="minor"/>
      </rPr>
      <t xml:space="preserve"> = 120 MN/m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</si>
  <si>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2. Tragschicht mit </t>
  </si>
  <si>
    <t xml:space="preserve">Bindemittel </t>
  </si>
  <si>
    <r>
      <t>h</t>
    </r>
    <r>
      <rPr>
        <vertAlign val="superscript"/>
        <sz val="10"/>
        <color theme="1"/>
        <rFont val="Arial"/>
        <family val="2"/>
      </rPr>
      <t>x</t>
    </r>
    <r>
      <rPr>
        <sz val="11"/>
        <color theme="1"/>
        <rFont val="Calibri"/>
        <family val="2"/>
        <scheme val="minor"/>
      </rPr>
      <t xml:space="preserve"> =</t>
    </r>
  </si>
  <si>
    <t xml:space="preserve">C = </t>
  </si>
  <si>
    <r>
      <t>N/mm</t>
    </r>
    <r>
      <rPr>
        <vertAlign val="superscript"/>
        <sz val="11"/>
        <color theme="1"/>
        <rFont val="Calibri"/>
        <family val="2"/>
        <scheme val="minor"/>
      </rPr>
      <t>3</t>
    </r>
  </si>
  <si>
    <t>Dicke des Ersatzsystems mit gleicher Steifigkeit E=E1</t>
  </si>
  <si>
    <t>Berechnung der Tragschichten Variante 2 – ohne Verbund</t>
  </si>
  <si>
    <t xml:space="preserve">Anhaltswerte des statischen Bettungsmoduls für Unterbau und Untergrund </t>
  </si>
  <si>
    <t>gewählter Bettungsmodul für Untergrund/Unterbau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</si>
</sst>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\ &quot;[-]&quot;"/>
    <numFmt numFmtId="167" formatCode="0.0%"/>
  </numFmts>
  <fonts count="74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u/>
      <sz val="8"/>
      <color theme="1"/>
      <name val="Arial"/>
      <family val="2"/>
    </font>
    <font>
      <b/>
      <sz val="10"/>
      <color theme="1"/>
      <name val="Symbol"/>
      <family val="1"/>
      <charset val="2"/>
    </font>
    <font>
      <b/>
      <vertAlign val="subscript"/>
      <sz val="10"/>
      <color theme="1"/>
      <name val="Arial"/>
      <family val="2"/>
    </font>
    <font>
      <b/>
      <sz val="6"/>
      <color theme="1"/>
      <name val="Arial"/>
      <family val="2"/>
    </font>
    <font>
      <b/>
      <sz val="6"/>
      <color theme="1"/>
      <name val="Symbol"/>
      <family val="1"/>
      <charset val="2"/>
    </font>
    <font>
      <b/>
      <vertAlign val="subscript"/>
      <sz val="6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1"/>
      <name val="Symbol"/>
      <family val="1"/>
      <charset val="2"/>
    </font>
    <font>
      <b/>
      <vertAlign val="subscript"/>
      <sz val="8"/>
      <color theme="1"/>
      <name val="Arial"/>
      <family val="2"/>
    </font>
    <font>
      <b/>
      <i/>
      <sz val="8"/>
      <color theme="1"/>
      <name val="Arial"/>
      <family val="2"/>
    </font>
    <font>
      <vertAlign val="subscript"/>
      <sz val="10"/>
      <color theme="1"/>
      <name val="Arial"/>
      <family val="2"/>
    </font>
    <font>
      <sz val="8"/>
      <color theme="1"/>
      <name val="Arial Narrow"/>
      <family val="2"/>
    </font>
    <font>
      <b/>
      <vertAlign val="superscript"/>
      <sz val="10"/>
      <color theme="1"/>
      <name val="Arial"/>
      <family val="2"/>
    </font>
    <font>
      <sz val="6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6"/>
      <color theme="10"/>
      <name val="Arial"/>
      <family val="2"/>
    </font>
    <font>
      <vertAlign val="superscript"/>
      <sz val="8"/>
      <color theme="1"/>
      <name val="Arial"/>
      <family val="2"/>
    </font>
    <font>
      <sz val="10"/>
      <color theme="1"/>
      <name val="Symbol"/>
      <family val="1"/>
      <charset val="2"/>
    </font>
    <font>
      <vertAlign val="subscript"/>
      <sz val="8"/>
      <color theme="1"/>
      <name val="Arial"/>
      <family val="2"/>
    </font>
    <font>
      <i/>
      <sz val="8"/>
      <color theme="1"/>
      <name val="Arial"/>
      <family val="2"/>
    </font>
    <font>
      <i/>
      <vertAlign val="subscript"/>
      <sz val="8"/>
      <color theme="1"/>
      <name val="Arial"/>
      <family val="2"/>
    </font>
    <font>
      <vertAlign val="subscript"/>
      <sz val="8"/>
      <color theme="1"/>
      <name val="Arial Narrow"/>
      <family val="2"/>
    </font>
    <font>
      <sz val="9"/>
      <color indexed="81"/>
      <name val="Tahoma"/>
      <family val="2"/>
    </font>
    <font>
      <sz val="9"/>
      <color indexed="81"/>
      <name val="Symbol"/>
      <family val="1"/>
      <charset val="2"/>
    </font>
    <font>
      <sz val="9"/>
      <color indexed="81"/>
      <name val="Calibri"/>
      <family val="2"/>
    </font>
    <font>
      <b/>
      <sz val="10"/>
      <name val="Arial"/>
      <family val="1"/>
      <charset val="2"/>
    </font>
    <font>
      <b/>
      <sz val="10"/>
      <name val="Symbol"/>
      <family val="1"/>
      <charset val="2"/>
    </font>
    <font>
      <b/>
      <vertAlign val="subscript"/>
      <sz val="10"/>
      <name val="Arial"/>
      <family val="2"/>
    </font>
    <font>
      <b/>
      <sz val="10"/>
      <name val="Arial"/>
      <family val="2"/>
    </font>
    <font>
      <vertAlign val="superscript"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vertAlign val="subscript"/>
      <sz val="10"/>
      <color theme="0"/>
      <name val="Arial"/>
      <family val="2"/>
    </font>
    <font>
      <b/>
      <i/>
      <sz val="8"/>
      <color theme="0"/>
      <name val="Arial"/>
      <family val="2"/>
    </font>
    <font>
      <vertAlign val="subscript"/>
      <sz val="8"/>
      <color theme="0"/>
      <name val="Arial"/>
      <family val="2"/>
    </font>
    <font>
      <sz val="10"/>
      <color theme="0"/>
      <name val="Symbol"/>
      <family val="1"/>
      <charset val="2"/>
    </font>
    <font>
      <b/>
      <sz val="8"/>
      <name val="Arial"/>
      <family val="2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0"/>
      <color theme="1"/>
      <name val="Arial"/>
      <family val="2"/>
    </font>
    <font>
      <b/>
      <i/>
      <sz val="11"/>
      <color theme="0"/>
      <name val="Calibri"/>
      <family val="2"/>
      <scheme val="minor"/>
    </font>
    <font>
      <b/>
      <vertAlign val="superscript"/>
      <sz val="8"/>
      <name val="Arial"/>
      <family val="2"/>
    </font>
    <font>
      <b/>
      <vertAlign val="subscript"/>
      <sz val="8"/>
      <name val="Arial"/>
      <family val="2"/>
    </font>
    <font>
      <i/>
      <sz val="8"/>
      <color theme="0"/>
      <name val="Arial"/>
      <family val="2"/>
    </font>
    <font>
      <u/>
      <sz val="10"/>
      <color theme="1"/>
      <name val="Arial"/>
      <family val="2"/>
    </font>
    <font>
      <b/>
      <i/>
      <sz val="8"/>
      <color theme="1"/>
      <name val="Arial Narrow"/>
      <family val="2"/>
    </font>
    <font>
      <b/>
      <i/>
      <sz val="8"/>
      <color theme="1"/>
      <name val="Symbol"/>
      <family val="1"/>
      <charset val="2"/>
    </font>
    <font>
      <b/>
      <i/>
      <vertAlign val="subscript"/>
      <sz val="8"/>
      <color theme="1"/>
      <name val="Arial"/>
      <family val="2"/>
    </font>
    <font>
      <b/>
      <i/>
      <vertAlign val="subscript"/>
      <sz val="8"/>
      <color theme="1"/>
      <name val="Arial Narrow"/>
      <family val="2"/>
    </font>
    <font>
      <sz val="8"/>
      <color theme="1"/>
      <name val="Calibri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8"/>
      <name val="Arial"/>
      <family val="2"/>
    </font>
    <font>
      <vertAlign val="subscript"/>
      <sz val="10"/>
      <name val="Arial"/>
      <family val="2"/>
    </font>
    <font>
      <sz val="9"/>
      <color theme="1"/>
      <name val="Arial"/>
      <family val="2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0"/>
      <color theme="1"/>
      <name val="Arial Narrow"/>
      <family val="2"/>
    </font>
    <font>
      <u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/>
    <xf numFmtId="0" fontId="21" fillId="0" borderId="0" applyNumberFormat="0" applyFill="0" applyBorder="0" applyAlignment="0" applyProtection="0"/>
    <xf numFmtId="9" fontId="67" fillId="0" borderId="0" applyFont="0" applyFill="0" applyBorder="0" applyAlignment="0" applyProtection="0"/>
  </cellStyleXfs>
  <cellXfs count="368">
    <xf numFmtId="0" fontId="0" fillId="0" borderId="0" xfId="0"/>
    <xf numFmtId="0" fontId="0" fillId="2" borderId="0" xfId="0" applyFill="1"/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/>
    <xf numFmtId="0" fontId="0" fillId="0" borderId="12" xfId="0" applyBorder="1"/>
    <xf numFmtId="0" fontId="0" fillId="0" borderId="14" xfId="0" applyBorder="1" applyProtection="1">
      <protection hidden="1"/>
    </xf>
    <xf numFmtId="0" fontId="0" fillId="0" borderId="15" xfId="0" applyBorder="1" applyProtection="1">
      <protection hidden="1"/>
    </xf>
    <xf numFmtId="0" fontId="5" fillId="0" borderId="14" xfId="0" applyFont="1" applyBorder="1" applyProtection="1">
      <protection hidden="1"/>
    </xf>
    <xf numFmtId="0" fontId="0" fillId="0" borderId="11" xfId="0" applyBorder="1" applyProtection="1">
      <protection hidden="1"/>
    </xf>
    <xf numFmtId="0" fontId="5" fillId="0" borderId="12" xfId="0" applyFont="1" applyBorder="1"/>
    <xf numFmtId="0" fontId="5" fillId="0" borderId="16" xfId="0" applyFont="1" applyBorder="1" applyProtection="1">
      <protection hidden="1"/>
    </xf>
    <xf numFmtId="0" fontId="5" fillId="0" borderId="17" xfId="0" applyFont="1" applyBorder="1" applyAlignment="1" applyProtection="1">
      <alignment horizontal="center"/>
      <protection hidden="1"/>
    </xf>
    <xf numFmtId="0" fontId="5" fillId="0" borderId="17" xfId="0" applyFont="1" applyBorder="1" applyProtection="1">
      <protection hidden="1"/>
    </xf>
    <xf numFmtId="0" fontId="5" fillId="0" borderId="18" xfId="0" applyFont="1" applyBorder="1" applyAlignment="1" applyProtection="1">
      <alignment horizontal="center"/>
      <protection hidden="1"/>
    </xf>
    <xf numFmtId="0" fontId="6" fillId="3" borderId="19" xfId="0" applyFont="1" applyFill="1" applyBorder="1" applyProtection="1">
      <protection hidden="1"/>
    </xf>
    <xf numFmtId="0" fontId="0" fillId="3" borderId="20" xfId="0" applyFill="1" applyBorder="1" applyProtection="1">
      <protection hidden="1"/>
    </xf>
    <xf numFmtId="0" fontId="0" fillId="3" borderId="21" xfId="0" applyFill="1" applyBorder="1" applyProtection="1">
      <protection hidden="1"/>
    </xf>
    <xf numFmtId="0" fontId="5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3" fillId="3" borderId="22" xfId="0" applyFont="1" applyFill="1" applyBorder="1" applyProtection="1">
      <protection hidden="1"/>
    </xf>
    <xf numFmtId="0" fontId="3" fillId="3" borderId="23" xfId="0" applyFont="1" applyFill="1" applyBorder="1" applyAlignment="1" applyProtection="1">
      <alignment horizontal="center"/>
      <protection hidden="1"/>
    </xf>
    <xf numFmtId="0" fontId="3" fillId="3" borderId="23" xfId="0" applyFont="1" applyFill="1" applyBorder="1" applyProtection="1">
      <protection hidden="1"/>
    </xf>
    <xf numFmtId="0" fontId="3" fillId="3" borderId="24" xfId="0" applyFont="1" applyFill="1" applyBorder="1" applyProtection="1">
      <protection hidden="1"/>
    </xf>
    <xf numFmtId="0" fontId="3" fillId="3" borderId="25" xfId="0" applyFont="1" applyFill="1" applyBorder="1" applyProtection="1">
      <protection hidden="1"/>
    </xf>
    <xf numFmtId="0" fontId="0" fillId="3" borderId="26" xfId="0" applyFill="1" applyBorder="1" applyAlignment="1" applyProtection="1">
      <alignment horizontal="right"/>
      <protection hidden="1"/>
    </xf>
    <xf numFmtId="0" fontId="3" fillId="3" borderId="27" xfId="0" applyFont="1" applyFill="1" applyBorder="1" applyProtection="1">
      <protection hidden="1"/>
    </xf>
    <xf numFmtId="0" fontId="3" fillId="0" borderId="11" xfId="0" applyFont="1" applyBorder="1" applyProtection="1">
      <protection hidden="1"/>
    </xf>
    <xf numFmtId="0" fontId="17" fillId="0" borderId="11" xfId="0" applyFont="1" applyBorder="1"/>
    <xf numFmtId="0" fontId="19" fillId="0" borderId="12" xfId="0" applyFont="1" applyBorder="1" applyAlignment="1">
      <alignment horizontal="right"/>
    </xf>
    <xf numFmtId="0" fontId="3" fillId="3" borderId="28" xfId="0" applyFont="1" applyFill="1" applyBorder="1" applyProtection="1">
      <protection hidden="1"/>
    </xf>
    <xf numFmtId="0" fontId="3" fillId="3" borderId="29" xfId="0" applyFont="1" applyFill="1" applyBorder="1" applyAlignment="1" applyProtection="1">
      <alignment horizontal="center"/>
      <protection hidden="1"/>
    </xf>
    <xf numFmtId="0" fontId="3" fillId="3" borderId="29" xfId="0" applyFont="1" applyFill="1" applyBorder="1" applyProtection="1">
      <protection hidden="1"/>
    </xf>
    <xf numFmtId="0" fontId="6" fillId="3" borderId="25" xfId="0" applyFont="1" applyFill="1" applyBorder="1" applyProtection="1">
      <protection hidden="1"/>
    </xf>
    <xf numFmtId="0" fontId="0" fillId="3" borderId="26" xfId="0" applyFill="1" applyBorder="1" applyProtection="1">
      <protection hidden="1"/>
    </xf>
    <xf numFmtId="0" fontId="3" fillId="3" borderId="26" xfId="0" applyFont="1" applyFill="1" applyBorder="1" applyProtection="1">
      <protection hidden="1"/>
    </xf>
    <xf numFmtId="0" fontId="0" fillId="0" borderId="12" xfId="0" applyBorder="1" applyAlignment="1">
      <alignment horizontal="center" vertical="center"/>
    </xf>
    <xf numFmtId="2" fontId="0" fillId="0" borderId="12" xfId="0" applyNumberFormat="1" applyBorder="1"/>
    <xf numFmtId="2" fontId="20" fillId="0" borderId="12" xfId="0" applyNumberFormat="1" applyFont="1" applyBorder="1" applyAlignment="1">
      <alignment vertical="center"/>
    </xf>
    <xf numFmtId="0" fontId="3" fillId="3" borderId="27" xfId="0" applyFont="1" applyFill="1" applyBorder="1" applyAlignment="1" applyProtection="1">
      <alignment vertical="center"/>
      <protection hidden="1"/>
    </xf>
    <xf numFmtId="0" fontId="3" fillId="3" borderId="31" xfId="0" applyFont="1" applyFill="1" applyBorder="1" applyProtection="1">
      <protection hidden="1"/>
    </xf>
    <xf numFmtId="0" fontId="3" fillId="3" borderId="32" xfId="0" applyFont="1" applyFill="1" applyBorder="1" applyAlignment="1" applyProtection="1">
      <alignment horizontal="center"/>
      <protection hidden="1"/>
    </xf>
    <xf numFmtId="0" fontId="3" fillId="3" borderId="32" xfId="0" applyFont="1" applyFill="1" applyBorder="1" applyProtection="1">
      <protection hidden="1"/>
    </xf>
    <xf numFmtId="0" fontId="5" fillId="0" borderId="34" xfId="0" applyFont="1" applyBorder="1" applyProtection="1">
      <protection hidden="1"/>
    </xf>
    <xf numFmtId="0" fontId="0" fillId="0" borderId="35" xfId="0" applyBorder="1" applyProtection="1">
      <protection hidden="1"/>
    </xf>
    <xf numFmtId="0" fontId="3" fillId="3" borderId="36" xfId="0" applyFont="1" applyFill="1" applyBorder="1" applyProtection="1">
      <protection hidden="1"/>
    </xf>
    <xf numFmtId="0" fontId="3" fillId="3" borderId="21" xfId="0" applyFont="1" applyFill="1" applyBorder="1" applyAlignment="1" applyProtection="1">
      <alignment vertical="center"/>
      <protection hidden="1"/>
    </xf>
    <xf numFmtId="0" fontId="0" fillId="2" borderId="0" xfId="0" applyFill="1" applyProtection="1">
      <protection hidden="1"/>
    </xf>
    <xf numFmtId="0" fontId="0" fillId="3" borderId="38" xfId="0" applyFill="1" applyBorder="1" applyAlignment="1" applyProtection="1">
      <alignment horizontal="right"/>
      <protection hidden="1"/>
    </xf>
    <xf numFmtId="0" fontId="0" fillId="0" borderId="7" xfId="0" applyBorder="1" applyProtection="1">
      <protection hidden="1"/>
    </xf>
    <xf numFmtId="0" fontId="0" fillId="0" borderId="39" xfId="0" applyBorder="1" applyProtection="1">
      <protection hidden="1"/>
    </xf>
    <xf numFmtId="0" fontId="0" fillId="3" borderId="26" xfId="0" applyFill="1" applyBorder="1" applyAlignment="1" applyProtection="1">
      <alignment horizontal="right" vertical="center"/>
      <protection hidden="1"/>
    </xf>
    <xf numFmtId="0" fontId="0" fillId="3" borderId="40" xfId="0" applyFill="1" applyBorder="1" applyProtection="1">
      <protection hidden="1"/>
    </xf>
    <xf numFmtId="0" fontId="3" fillId="3" borderId="42" xfId="0" applyFont="1" applyFill="1" applyBorder="1" applyAlignment="1" applyProtection="1">
      <alignment vertical="center"/>
      <protection hidden="1"/>
    </xf>
    <xf numFmtId="0" fontId="3" fillId="0" borderId="35" xfId="0" applyFont="1" applyBorder="1" applyProtection="1">
      <protection hidden="1"/>
    </xf>
    <xf numFmtId="0" fontId="3" fillId="3" borderId="25" xfId="0" applyFont="1" applyFill="1" applyBorder="1" applyAlignment="1" applyProtection="1">
      <alignment vertical="center" wrapText="1"/>
      <protection hidden="1"/>
    </xf>
    <xf numFmtId="0" fontId="3" fillId="3" borderId="44" xfId="0" applyFont="1" applyFill="1" applyBorder="1" applyProtection="1">
      <protection hidden="1"/>
    </xf>
    <xf numFmtId="0" fontId="0" fillId="3" borderId="41" xfId="0" applyFill="1" applyBorder="1" applyAlignment="1" applyProtection="1">
      <alignment horizontal="right"/>
      <protection hidden="1"/>
    </xf>
    <xf numFmtId="165" fontId="15" fillId="3" borderId="41" xfId="0" applyNumberFormat="1" applyFont="1" applyFill="1" applyBorder="1" applyProtection="1">
      <protection hidden="1"/>
    </xf>
    <xf numFmtId="165" fontId="3" fillId="3" borderId="26" xfId="0" applyNumberFormat="1" applyFont="1" applyFill="1" applyBorder="1" applyProtection="1">
      <protection hidden="1"/>
    </xf>
    <xf numFmtId="0" fontId="3" fillId="3" borderId="45" xfId="0" applyFont="1" applyFill="1" applyBorder="1" applyAlignment="1" applyProtection="1">
      <alignment horizontal="left" wrapText="1"/>
      <protection hidden="1"/>
    </xf>
    <xf numFmtId="0" fontId="0" fillId="3" borderId="46" xfId="0" applyFill="1" applyBorder="1" applyAlignment="1" applyProtection="1">
      <alignment horizontal="right" vertical="center"/>
      <protection hidden="1"/>
    </xf>
    <xf numFmtId="0" fontId="3" fillId="3" borderId="47" xfId="0" applyFont="1" applyFill="1" applyBorder="1" applyAlignment="1" applyProtection="1">
      <alignment vertical="center"/>
      <protection hidden="1"/>
    </xf>
    <xf numFmtId="0" fontId="3" fillId="3" borderId="48" xfId="0" applyFont="1" applyFill="1" applyBorder="1" applyProtection="1">
      <protection hidden="1"/>
    </xf>
    <xf numFmtId="0" fontId="0" fillId="3" borderId="49" xfId="0" applyFill="1" applyBorder="1" applyAlignment="1" applyProtection="1">
      <alignment horizontal="right"/>
      <protection hidden="1"/>
    </xf>
    <xf numFmtId="2" fontId="3" fillId="3" borderId="49" xfId="0" applyNumberFormat="1" applyFont="1" applyFill="1" applyBorder="1" applyProtection="1">
      <protection hidden="1"/>
    </xf>
    <xf numFmtId="0" fontId="3" fillId="3" borderId="50" xfId="0" applyFont="1" applyFill="1" applyBorder="1" applyAlignment="1" applyProtection="1">
      <alignment vertical="center"/>
      <protection hidden="1"/>
    </xf>
    <xf numFmtId="0" fontId="6" fillId="3" borderId="26" xfId="0" applyFont="1" applyFill="1" applyBorder="1" applyProtection="1">
      <protection hidden="1"/>
    </xf>
    <xf numFmtId="0" fontId="0" fillId="3" borderId="27" xfId="0" applyFill="1" applyBorder="1" applyProtection="1">
      <protection hidden="1"/>
    </xf>
    <xf numFmtId="0" fontId="3" fillId="3" borderId="21" xfId="0" applyFont="1" applyFill="1" applyBorder="1" applyProtection="1">
      <protection hidden="1"/>
    </xf>
    <xf numFmtId="0" fontId="6" fillId="3" borderId="51" xfId="0" applyFont="1" applyFill="1" applyBorder="1" applyProtection="1">
      <protection hidden="1"/>
    </xf>
    <xf numFmtId="0" fontId="0" fillId="3" borderId="52" xfId="0" applyFill="1" applyBorder="1" applyProtection="1">
      <protection hidden="1"/>
    </xf>
    <xf numFmtId="0" fontId="3" fillId="3" borderId="52" xfId="0" applyFont="1" applyFill="1" applyBorder="1" applyProtection="1">
      <protection hidden="1"/>
    </xf>
    <xf numFmtId="2" fontId="3" fillId="3" borderId="26" xfId="0" applyNumberFormat="1" applyFont="1" applyFill="1" applyBorder="1" applyProtection="1">
      <protection hidden="1"/>
    </xf>
    <xf numFmtId="0" fontId="0" fillId="3" borderId="26" xfId="0" applyFill="1" applyBorder="1" applyAlignment="1" applyProtection="1">
      <alignment horizontal="center" vertical="center"/>
      <protection hidden="1"/>
    </xf>
    <xf numFmtId="0" fontId="0" fillId="3" borderId="44" xfId="0" applyFill="1" applyBorder="1" applyProtection="1">
      <protection hidden="1"/>
    </xf>
    <xf numFmtId="0" fontId="0" fillId="3" borderId="41" xfId="0" applyFill="1" applyBorder="1" applyAlignment="1" applyProtection="1">
      <alignment horizontal="right" vertical="center"/>
      <protection hidden="1"/>
    </xf>
    <xf numFmtId="1" fontId="3" fillId="3" borderId="41" xfId="0" applyNumberFormat="1" applyFont="1" applyFill="1" applyBorder="1" applyAlignment="1" applyProtection="1">
      <alignment vertical="center"/>
      <protection hidden="1"/>
    </xf>
    <xf numFmtId="0" fontId="3" fillId="3" borderId="42" xfId="0" applyFont="1" applyFill="1" applyBorder="1" applyProtection="1">
      <protection hidden="1"/>
    </xf>
    <xf numFmtId="0" fontId="0" fillId="0" borderId="53" xfId="0" applyBorder="1" applyProtection="1">
      <protection hidden="1"/>
    </xf>
    <xf numFmtId="0" fontId="0" fillId="0" borderId="54" xfId="0" applyBorder="1" applyAlignment="1" applyProtection="1">
      <alignment horizontal="center" vertical="center"/>
      <protection hidden="1"/>
    </xf>
    <xf numFmtId="0" fontId="0" fillId="0" borderId="54" xfId="0" applyBorder="1" applyAlignment="1" applyProtection="1">
      <alignment horizontal="right"/>
      <protection hidden="1"/>
    </xf>
    <xf numFmtId="0" fontId="0" fillId="0" borderId="12" xfId="0" applyBorder="1" applyProtection="1">
      <protection hidden="1"/>
    </xf>
    <xf numFmtId="0" fontId="3" fillId="3" borderId="45" xfId="0" applyFont="1" applyFill="1" applyBorder="1" applyProtection="1">
      <protection hidden="1"/>
    </xf>
    <xf numFmtId="0" fontId="0" fillId="0" borderId="56" xfId="0" applyBorder="1" applyProtection="1">
      <protection hidden="1"/>
    </xf>
    <xf numFmtId="0" fontId="0" fillId="0" borderId="57" xfId="0" applyBorder="1" applyProtection="1">
      <protection hidden="1"/>
    </xf>
    <xf numFmtId="0" fontId="0" fillId="0" borderId="58" xfId="0" applyBorder="1" applyProtection="1">
      <protection hidden="1"/>
    </xf>
    <xf numFmtId="0" fontId="0" fillId="0" borderId="59" xfId="0" applyBorder="1" applyProtection="1">
      <protection hidden="1"/>
    </xf>
    <xf numFmtId="0" fontId="3" fillId="3" borderId="39" xfId="0" applyFont="1" applyFill="1" applyBorder="1" applyProtection="1">
      <protection hidden="1"/>
    </xf>
    <xf numFmtId="0" fontId="12" fillId="0" borderId="39" xfId="0" applyFont="1" applyBorder="1" applyProtection="1">
      <protection hidden="1"/>
    </xf>
    <xf numFmtId="0" fontId="0" fillId="0" borderId="0" xfId="0" applyProtection="1">
      <protection hidden="1"/>
    </xf>
    <xf numFmtId="0" fontId="0" fillId="0" borderId="12" xfId="0" applyBorder="1" applyAlignment="1" applyProtection="1">
      <alignment horizontal="right"/>
      <protection hidden="1"/>
    </xf>
    <xf numFmtId="165" fontId="26" fillId="0" borderId="12" xfId="0" applyNumberFormat="1" applyFont="1" applyBorder="1" applyProtection="1">
      <protection hidden="1"/>
    </xf>
    <xf numFmtId="0" fontId="26" fillId="0" borderId="12" xfId="0" applyFont="1" applyBorder="1" applyProtection="1">
      <protection hidden="1"/>
    </xf>
    <xf numFmtId="0" fontId="26" fillId="0" borderId="60" xfId="0" applyFont="1" applyBorder="1" applyProtection="1">
      <protection hidden="1"/>
    </xf>
    <xf numFmtId="0" fontId="26" fillId="0" borderId="15" xfId="0" applyFont="1" applyBorder="1" applyProtection="1">
      <protection hidden="1"/>
    </xf>
    <xf numFmtId="0" fontId="26" fillId="0" borderId="11" xfId="0" applyFont="1" applyBorder="1"/>
    <xf numFmtId="0" fontId="26" fillId="0" borderId="12" xfId="0" applyFont="1" applyBorder="1"/>
    <xf numFmtId="0" fontId="26" fillId="0" borderId="39" xfId="0" applyFont="1" applyBorder="1" applyProtection="1">
      <protection hidden="1"/>
    </xf>
    <xf numFmtId="2" fontId="26" fillId="0" borderId="12" xfId="0" applyNumberFormat="1" applyFont="1" applyBorder="1" applyProtection="1">
      <protection hidden="1"/>
    </xf>
    <xf numFmtId="0" fontId="26" fillId="0" borderId="12" xfId="0" applyFont="1" applyBorder="1" applyAlignment="1" applyProtection="1">
      <alignment horizontal="right"/>
      <protection hidden="1"/>
    </xf>
    <xf numFmtId="2" fontId="26" fillId="0" borderId="12" xfId="0" applyNumberFormat="1" applyFont="1" applyBorder="1" applyAlignment="1" applyProtection="1">
      <alignment horizontal="right" vertical="center"/>
      <protection hidden="1"/>
    </xf>
    <xf numFmtId="0" fontId="26" fillId="0" borderId="12" xfId="0" applyFont="1" applyBorder="1" applyAlignment="1" applyProtection="1">
      <alignment horizontal="right" vertical="center"/>
      <protection hidden="1"/>
    </xf>
    <xf numFmtId="0" fontId="0" fillId="0" borderId="55" xfId="0" applyBorder="1" applyProtection="1">
      <protection hidden="1"/>
    </xf>
    <xf numFmtId="0" fontId="0" fillId="0" borderId="61" xfId="0" applyBorder="1"/>
    <xf numFmtId="2" fontId="0" fillId="0" borderId="14" xfId="0" applyNumberFormat="1" applyBorder="1"/>
    <xf numFmtId="2" fontId="20" fillId="0" borderId="14" xfId="0" applyNumberFormat="1" applyFont="1" applyBorder="1" applyAlignment="1">
      <alignment vertical="center"/>
    </xf>
    <xf numFmtId="0" fontId="0" fillId="0" borderId="10" xfId="0" applyBorder="1"/>
    <xf numFmtId="2" fontId="0" fillId="0" borderId="8" xfId="0" applyNumberFormat="1" applyBorder="1"/>
    <xf numFmtId="2" fontId="20" fillId="0" borderId="8" xfId="0" applyNumberFormat="1" applyFont="1" applyBorder="1" applyAlignment="1">
      <alignment vertical="center"/>
    </xf>
    <xf numFmtId="0" fontId="4" fillId="0" borderId="13" xfId="0" applyFont="1" applyBorder="1" applyProtection="1">
      <protection hidden="1"/>
    </xf>
    <xf numFmtId="0" fontId="3" fillId="3" borderId="19" xfId="0" applyFont="1" applyFill="1" applyBorder="1" applyProtection="1">
      <protection hidden="1"/>
    </xf>
    <xf numFmtId="0" fontId="3" fillId="3" borderId="20" xfId="0" applyFont="1" applyFill="1" applyBorder="1" applyProtection="1">
      <protection hidden="1"/>
    </xf>
    <xf numFmtId="0" fontId="3" fillId="3" borderId="25" xfId="0" applyFont="1" applyFill="1" applyBorder="1" applyAlignment="1" applyProtection="1">
      <alignment horizontal="right" vertical="center"/>
      <protection hidden="1"/>
    </xf>
    <xf numFmtId="0" fontId="3" fillId="3" borderId="44" xfId="0" applyFont="1" applyFill="1" applyBorder="1" applyAlignment="1" applyProtection="1">
      <alignment horizontal="right" vertical="center"/>
      <protection hidden="1"/>
    </xf>
    <xf numFmtId="0" fontId="3" fillId="3" borderId="41" xfId="0" applyFont="1" applyFill="1" applyBorder="1" applyProtection="1">
      <protection hidden="1"/>
    </xf>
    <xf numFmtId="2" fontId="0" fillId="0" borderId="12" xfId="0" applyNumberFormat="1" applyBorder="1" applyAlignment="1">
      <alignment vertical="center"/>
    </xf>
    <xf numFmtId="0" fontId="4" fillId="0" borderId="39" xfId="0" applyFont="1" applyBorder="1" applyProtection="1">
      <protection hidden="1"/>
    </xf>
    <xf numFmtId="0" fontId="0" fillId="0" borderId="13" xfId="0" applyBorder="1" applyProtection="1">
      <protection hidden="1"/>
    </xf>
    <xf numFmtId="0" fontId="17" fillId="3" borderId="20" xfId="0" applyFont="1" applyFill="1" applyBorder="1" applyProtection="1">
      <protection hidden="1"/>
    </xf>
    <xf numFmtId="0" fontId="17" fillId="3" borderId="41" xfId="0" applyFont="1" applyFill="1" applyBorder="1" applyProtection="1">
      <protection hidden="1"/>
    </xf>
    <xf numFmtId="0" fontId="3" fillId="0" borderId="34" xfId="0" applyFont="1" applyBorder="1" applyProtection="1">
      <protection hidden="1"/>
    </xf>
    <xf numFmtId="0" fontId="3" fillId="0" borderId="53" xfId="0" applyFont="1" applyBorder="1" applyProtection="1">
      <protection hidden="1"/>
    </xf>
    <xf numFmtId="2" fontId="3" fillId="3" borderId="27" xfId="0" applyNumberFormat="1" applyFont="1" applyFill="1" applyBorder="1" applyProtection="1">
      <protection hidden="1"/>
    </xf>
    <xf numFmtId="0" fontId="22" fillId="0" borderId="11" xfId="1" applyFont="1" applyBorder="1" applyAlignment="1">
      <alignment horizontal="right" vertical="center"/>
    </xf>
    <xf numFmtId="0" fontId="0" fillId="3" borderId="41" xfId="0" applyFill="1" applyBorder="1" applyProtection="1">
      <protection hidden="1"/>
    </xf>
    <xf numFmtId="2" fontId="3" fillId="3" borderId="42" xfId="0" applyNumberFormat="1" applyFont="1" applyFill="1" applyBorder="1" applyProtection="1">
      <protection hidden="1"/>
    </xf>
    <xf numFmtId="0" fontId="0" fillId="0" borderId="34" xfId="0" applyBorder="1" applyProtection="1">
      <protection hidden="1"/>
    </xf>
    <xf numFmtId="0" fontId="26" fillId="3" borderId="41" xfId="0" applyFont="1" applyFill="1" applyBorder="1" applyProtection="1">
      <protection hidden="1"/>
    </xf>
    <xf numFmtId="0" fontId="26" fillId="3" borderId="2" xfId="0" applyFont="1" applyFill="1" applyBorder="1" applyProtection="1">
      <protection hidden="1"/>
    </xf>
    <xf numFmtId="0" fontId="26" fillId="3" borderId="0" xfId="0" applyFont="1" applyFill="1" applyProtection="1">
      <protection hidden="1"/>
    </xf>
    <xf numFmtId="0" fontId="26" fillId="3" borderId="3" xfId="0" applyFont="1" applyFill="1" applyBorder="1" applyProtection="1">
      <protection hidden="1"/>
    </xf>
    <xf numFmtId="0" fontId="26" fillId="3" borderId="4" xfId="0" applyFont="1" applyFill="1" applyBorder="1" applyProtection="1">
      <protection hidden="1"/>
    </xf>
    <xf numFmtId="0" fontId="26" fillId="3" borderId="5" xfId="0" applyFont="1" applyFill="1" applyBorder="1" applyProtection="1">
      <protection hidden="1"/>
    </xf>
    <xf numFmtId="0" fontId="26" fillId="3" borderId="6" xfId="0" applyFont="1" applyFill="1" applyBorder="1" applyProtection="1">
      <protection hidden="1"/>
    </xf>
    <xf numFmtId="0" fontId="0" fillId="0" borderId="61" xfId="0" applyBorder="1" applyProtection="1">
      <protection hidden="1"/>
    </xf>
    <xf numFmtId="0" fontId="0" fillId="0" borderId="8" xfId="0" applyBorder="1"/>
    <xf numFmtId="2" fontId="0" fillId="0" borderId="0" xfId="0" applyNumberFormat="1"/>
    <xf numFmtId="2" fontId="20" fillId="0" borderId="0" xfId="0" applyNumberFormat="1" applyFont="1" applyAlignment="1">
      <alignment vertical="center"/>
    </xf>
    <xf numFmtId="0" fontId="3" fillId="3" borderId="62" xfId="0" applyFont="1" applyFill="1" applyBorder="1" applyProtection="1">
      <protection hidden="1"/>
    </xf>
    <xf numFmtId="0" fontId="3" fillId="3" borderId="6" xfId="0" applyFont="1" applyFill="1" applyBorder="1" applyAlignment="1" applyProtection="1">
      <alignment vertical="center"/>
      <protection hidden="1"/>
    </xf>
    <xf numFmtId="0" fontId="3" fillId="3" borderId="62" xfId="0" applyFont="1" applyFill="1" applyBorder="1" applyAlignment="1" applyProtection="1">
      <alignment vertical="center"/>
      <protection hidden="1"/>
    </xf>
    <xf numFmtId="0" fontId="32" fillId="3" borderId="46" xfId="0" applyFont="1" applyFill="1" applyBorder="1" applyAlignment="1" applyProtection="1">
      <alignment horizontal="right"/>
      <protection hidden="1"/>
    </xf>
    <xf numFmtId="2" fontId="5" fillId="3" borderId="46" xfId="0" applyNumberFormat="1" applyFont="1" applyFill="1" applyBorder="1" applyAlignment="1" applyProtection="1">
      <alignment vertical="center"/>
      <protection hidden="1"/>
    </xf>
    <xf numFmtId="0" fontId="12" fillId="3" borderId="47" xfId="0" applyFont="1" applyFill="1" applyBorder="1" applyProtection="1">
      <protection hidden="1"/>
    </xf>
    <xf numFmtId="0" fontId="5" fillId="2" borderId="14" xfId="0" applyFont="1" applyFill="1" applyBorder="1"/>
    <xf numFmtId="0" fontId="0" fillId="2" borderId="14" xfId="0" applyFill="1" applyBorder="1"/>
    <xf numFmtId="0" fontId="3" fillId="2" borderId="0" xfId="0" applyFont="1" applyFill="1" applyAlignment="1" applyProtection="1">
      <alignment horizontal="left" vertical="center"/>
      <protection hidden="1"/>
    </xf>
    <xf numFmtId="164" fontId="3" fillId="2" borderId="0" xfId="0" applyNumberFormat="1" applyFont="1" applyFill="1" applyAlignment="1" applyProtection="1">
      <alignment horizontal="left" vertical="center"/>
      <protection hidden="1"/>
    </xf>
    <xf numFmtId="0" fontId="3" fillId="2" borderId="0" xfId="0" applyFont="1" applyFill="1" applyProtection="1">
      <protection hidden="1"/>
    </xf>
    <xf numFmtId="2" fontId="15" fillId="4" borderId="46" xfId="0" applyNumberFormat="1" applyFont="1" applyFill="1" applyBorder="1" applyAlignment="1" applyProtection="1">
      <alignment horizontal="right" vertical="center"/>
      <protection locked="0" hidden="1"/>
    </xf>
    <xf numFmtId="0" fontId="15" fillId="4" borderId="26" xfId="0" applyFont="1" applyFill="1" applyBorder="1" applyProtection="1">
      <protection locked="0" hidden="1"/>
    </xf>
    <xf numFmtId="2" fontId="15" fillId="4" borderId="26" xfId="0" applyNumberFormat="1" applyFont="1" applyFill="1" applyBorder="1" applyProtection="1">
      <protection locked="0" hidden="1"/>
    </xf>
    <xf numFmtId="165" fontId="15" fillId="4" borderId="26" xfId="0" applyNumberFormat="1" applyFont="1" applyFill="1" applyBorder="1" applyProtection="1">
      <protection locked="0" hidden="1"/>
    </xf>
    <xf numFmtId="0" fontId="0" fillId="2" borderId="56" xfId="0" applyFill="1" applyBorder="1" applyProtection="1">
      <protection hidden="1"/>
    </xf>
    <xf numFmtId="0" fontId="0" fillId="2" borderId="39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0" borderId="11" xfId="0" applyBorder="1" applyAlignment="1">
      <alignment horizontal="center" vertical="center"/>
    </xf>
    <xf numFmtId="0" fontId="0" fillId="0" borderId="64" xfId="0" applyBorder="1" applyAlignment="1" applyProtection="1">
      <alignment vertical="center"/>
      <protection hidden="1"/>
    </xf>
    <xf numFmtId="0" fontId="0" fillId="2" borderId="11" xfId="0" applyFill="1" applyBorder="1" applyProtection="1">
      <protection hidden="1"/>
    </xf>
    <xf numFmtId="0" fontId="2" fillId="2" borderId="0" xfId="0" applyFont="1" applyFill="1" applyProtection="1">
      <protection hidden="1"/>
    </xf>
    <xf numFmtId="0" fontId="39" fillId="2" borderId="0" xfId="0" applyFont="1" applyFill="1" applyProtection="1">
      <protection hidden="1"/>
    </xf>
    <xf numFmtId="2" fontId="2" fillId="2" borderId="0" xfId="0" applyNumberFormat="1" applyFont="1" applyFill="1" applyProtection="1"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37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9" fillId="2" borderId="0" xfId="0" applyFont="1" applyFill="1" applyAlignment="1" applyProtection="1">
      <alignment horizontal="left"/>
      <protection hidden="1"/>
    </xf>
    <xf numFmtId="0" fontId="2" fillId="2" borderId="0" xfId="0" applyFont="1" applyFill="1" applyAlignment="1" applyProtection="1">
      <alignment horizontal="right" vertical="center"/>
      <protection hidden="1"/>
    </xf>
    <xf numFmtId="0" fontId="41" fillId="2" borderId="0" xfId="0" applyFont="1" applyFill="1" applyProtection="1">
      <protection hidden="1"/>
    </xf>
    <xf numFmtId="165" fontId="39" fillId="2" borderId="0" xfId="0" applyNumberFormat="1" applyFont="1" applyFill="1" applyProtection="1"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0" fillId="2" borderId="55" xfId="0" applyFill="1" applyBorder="1" applyProtection="1">
      <protection hidden="1"/>
    </xf>
    <xf numFmtId="0" fontId="44" fillId="0" borderId="39" xfId="0" applyFont="1" applyBorder="1" applyAlignment="1" applyProtection="1">
      <alignment vertical="center" wrapText="1"/>
      <protection hidden="1"/>
    </xf>
    <xf numFmtId="2" fontId="44" fillId="0" borderId="12" xfId="0" applyNumberFormat="1" applyFont="1" applyBorder="1" applyAlignment="1" applyProtection="1">
      <alignment vertical="center"/>
      <protection hidden="1"/>
    </xf>
    <xf numFmtId="0" fontId="44" fillId="0" borderId="12" xfId="0" applyFont="1" applyBorder="1" applyAlignment="1" applyProtection="1">
      <alignment vertical="center"/>
      <protection hidden="1"/>
    </xf>
    <xf numFmtId="0" fontId="3" fillId="4" borderId="20" xfId="0" applyFont="1" applyFill="1" applyBorder="1" applyProtection="1">
      <protection locked="0" hidden="1"/>
    </xf>
    <xf numFmtId="0" fontId="3" fillId="4" borderId="41" xfId="0" applyFont="1" applyFill="1" applyBorder="1" applyProtection="1">
      <protection locked="0" hidden="1"/>
    </xf>
    <xf numFmtId="0" fontId="3" fillId="4" borderId="21" xfId="0" applyFont="1" applyFill="1" applyBorder="1" applyProtection="1">
      <protection locked="0" hidden="1"/>
    </xf>
    <xf numFmtId="0" fontId="3" fillId="4" borderId="42" xfId="0" applyFont="1" applyFill="1" applyBorder="1" applyProtection="1">
      <protection locked="0" hidden="1"/>
    </xf>
    <xf numFmtId="165" fontId="3" fillId="3" borderId="26" xfId="0" applyNumberFormat="1" applyFont="1" applyFill="1" applyBorder="1" applyAlignment="1" applyProtection="1">
      <alignment vertical="center"/>
      <protection hidden="1"/>
    </xf>
    <xf numFmtId="0" fontId="15" fillId="3" borderId="23" xfId="0" applyFont="1" applyFill="1" applyBorder="1" applyAlignment="1" applyProtection="1">
      <alignment horizontal="center"/>
      <protection hidden="1"/>
    </xf>
    <xf numFmtId="0" fontId="15" fillId="3" borderId="29" xfId="0" applyFont="1" applyFill="1" applyBorder="1" applyAlignment="1" applyProtection="1">
      <alignment horizontal="center"/>
      <protection hidden="1"/>
    </xf>
    <xf numFmtId="2" fontId="15" fillId="3" borderId="30" xfId="0" applyNumberFormat="1" applyFont="1" applyFill="1" applyBorder="1" applyAlignment="1" applyProtection="1">
      <alignment horizontal="center" vertical="center"/>
      <protection hidden="1"/>
    </xf>
    <xf numFmtId="0" fontId="15" fillId="3" borderId="32" xfId="0" applyFont="1" applyFill="1" applyBorder="1" applyAlignment="1" applyProtection="1">
      <alignment horizontal="center"/>
      <protection hidden="1"/>
    </xf>
    <xf numFmtId="2" fontId="15" fillId="3" borderId="33" xfId="0" applyNumberFormat="1" applyFont="1" applyFill="1" applyBorder="1" applyAlignment="1" applyProtection="1">
      <alignment horizontal="center" vertical="center"/>
      <protection hidden="1"/>
    </xf>
    <xf numFmtId="3" fontId="3" fillId="3" borderId="26" xfId="0" applyNumberFormat="1" applyFont="1" applyFill="1" applyBorder="1" applyProtection="1">
      <protection hidden="1"/>
    </xf>
    <xf numFmtId="3" fontId="3" fillId="3" borderId="41" xfId="0" applyNumberFormat="1" applyFont="1" applyFill="1" applyBorder="1" applyProtection="1">
      <protection hidden="1"/>
    </xf>
    <xf numFmtId="0" fontId="2" fillId="0" borderId="7" xfId="0" applyFont="1" applyBorder="1" applyProtection="1">
      <protection hidden="1"/>
    </xf>
    <xf numFmtId="0" fontId="2" fillId="0" borderId="39" xfId="0" applyFont="1" applyBorder="1" applyProtection="1">
      <protection hidden="1"/>
    </xf>
    <xf numFmtId="0" fontId="2" fillId="0" borderId="35" xfId="0" applyFont="1" applyBorder="1" applyProtection="1">
      <protection hidden="1"/>
    </xf>
    <xf numFmtId="0" fontId="2" fillId="2" borderId="0" xfId="0" applyFont="1" applyFill="1"/>
    <xf numFmtId="0" fontId="2" fillId="0" borderId="11" xfId="0" applyFont="1" applyBorder="1" applyProtection="1">
      <protection hidden="1"/>
    </xf>
    <xf numFmtId="0" fontId="39" fillId="0" borderId="11" xfId="0" applyFont="1" applyBorder="1" applyProtection="1">
      <protection hidden="1"/>
    </xf>
    <xf numFmtId="0" fontId="2" fillId="0" borderId="8" xfId="0" applyFont="1" applyBorder="1" applyProtection="1">
      <protection hidden="1"/>
    </xf>
    <xf numFmtId="0" fontId="44" fillId="0" borderId="39" xfId="0" applyFont="1" applyBorder="1" applyAlignment="1" applyProtection="1">
      <alignment horizontal="left" vertical="center" wrapText="1"/>
      <protection hidden="1"/>
    </xf>
    <xf numFmtId="0" fontId="3" fillId="3" borderId="26" xfId="0" applyFont="1" applyFill="1" applyBorder="1" applyAlignment="1" applyProtection="1">
      <alignment horizontal="right"/>
      <protection hidden="1"/>
    </xf>
    <xf numFmtId="2" fontId="3" fillId="3" borderId="26" xfId="0" applyNumberFormat="1" applyFont="1" applyFill="1" applyBorder="1" applyAlignment="1" applyProtection="1">
      <alignment vertical="center"/>
      <protection hidden="1"/>
    </xf>
    <xf numFmtId="0" fontId="15" fillId="4" borderId="37" xfId="0" applyFont="1" applyFill="1" applyBorder="1" applyAlignment="1" applyProtection="1">
      <alignment horizontal="center" vertical="center"/>
      <protection locked="0" hidden="1"/>
    </xf>
    <xf numFmtId="0" fontId="15" fillId="3" borderId="26" xfId="0" applyFont="1" applyFill="1" applyBorder="1" applyProtection="1">
      <protection hidden="1"/>
    </xf>
    <xf numFmtId="0" fontId="15" fillId="3" borderId="41" xfId="0" applyFont="1" applyFill="1" applyBorder="1" applyProtection="1">
      <protection hidden="1"/>
    </xf>
    <xf numFmtId="2" fontId="2" fillId="2" borderId="0" xfId="0" applyNumberFormat="1" applyFont="1" applyFill="1"/>
    <xf numFmtId="2" fontId="3" fillId="2" borderId="0" xfId="0" applyNumberFormat="1" applyFont="1" applyFill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2" fontId="3" fillId="3" borderId="26" xfId="0" applyNumberFormat="1" applyFont="1" applyFill="1" applyBorder="1" applyAlignment="1" applyProtection="1">
      <alignment horizontal="right"/>
      <protection hidden="1"/>
    </xf>
    <xf numFmtId="0" fontId="0" fillId="2" borderId="9" xfId="0" applyFill="1" applyBorder="1" applyProtection="1">
      <protection hidden="1"/>
    </xf>
    <xf numFmtId="0" fontId="0" fillId="2" borderId="15" xfId="0" applyFill="1" applyBorder="1" applyProtection="1">
      <protection hidden="1"/>
    </xf>
    <xf numFmtId="0" fontId="3" fillId="3" borderId="0" xfId="0" applyFont="1" applyFill="1" applyProtection="1">
      <protection hidden="1"/>
    </xf>
    <xf numFmtId="2" fontId="44" fillId="2" borderId="0" xfId="0" applyNumberFormat="1" applyFont="1" applyFill="1" applyAlignment="1" applyProtection="1">
      <alignment vertical="center"/>
      <protection hidden="1"/>
    </xf>
    <xf numFmtId="0" fontId="44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right"/>
      <protection hidden="1"/>
    </xf>
    <xf numFmtId="165" fontId="51" fillId="2" borderId="0" xfId="0" applyNumberFormat="1" applyFont="1" applyFill="1" applyProtection="1">
      <protection hidden="1"/>
    </xf>
    <xf numFmtId="0" fontId="51" fillId="2" borderId="0" xfId="0" applyFont="1" applyFill="1" applyProtection="1">
      <protection hidden="1"/>
    </xf>
    <xf numFmtId="165" fontId="26" fillId="2" borderId="0" xfId="0" applyNumberFormat="1" applyFont="1" applyFill="1" applyProtection="1">
      <protection hidden="1"/>
    </xf>
    <xf numFmtId="0" fontId="26" fillId="2" borderId="0" xfId="0" applyFont="1" applyFill="1" applyProtection="1">
      <protection hidden="1"/>
    </xf>
    <xf numFmtId="0" fontId="26" fillId="2" borderId="0" xfId="0" applyFont="1" applyFill="1" applyAlignment="1" applyProtection="1">
      <alignment vertical="center"/>
      <protection hidden="1"/>
    </xf>
    <xf numFmtId="2" fontId="26" fillId="2" borderId="0" xfId="0" applyNumberFormat="1" applyFont="1" applyFill="1" applyAlignment="1" applyProtection="1">
      <alignment vertical="center"/>
      <protection hidden="1"/>
    </xf>
    <xf numFmtId="0" fontId="26" fillId="2" borderId="0" xfId="0" applyFont="1" applyFill="1" applyAlignment="1" applyProtection="1">
      <alignment horizontal="right" vertical="center"/>
      <protection hidden="1"/>
    </xf>
    <xf numFmtId="2" fontId="26" fillId="2" borderId="0" xfId="0" applyNumberFormat="1" applyFont="1" applyFill="1" applyAlignment="1" applyProtection="1">
      <alignment horizontal="right" vertical="center"/>
      <protection hidden="1"/>
    </xf>
    <xf numFmtId="0" fontId="19" fillId="0" borderId="8" xfId="0" applyFont="1" applyBorder="1" applyAlignment="1">
      <alignment horizontal="right"/>
    </xf>
    <xf numFmtId="0" fontId="4" fillId="2" borderId="0" xfId="0" applyFont="1" applyFill="1" applyProtection="1">
      <protection hidden="1"/>
    </xf>
    <xf numFmtId="0" fontId="17" fillId="2" borderId="0" xfId="0" applyFont="1" applyFill="1"/>
    <xf numFmtId="0" fontId="17" fillId="2" borderId="0" xfId="0" applyFont="1" applyFill="1" applyProtection="1">
      <protection hidden="1"/>
    </xf>
    <xf numFmtId="0" fontId="3" fillId="2" borderId="0" xfId="0" applyFont="1" applyFill="1" applyProtection="1">
      <protection locked="0" hidden="1"/>
    </xf>
    <xf numFmtId="0" fontId="6" fillId="2" borderId="0" xfId="0" applyFont="1" applyFill="1" applyProtection="1">
      <protection hidden="1"/>
    </xf>
    <xf numFmtId="0" fontId="22" fillId="2" borderId="0" xfId="1" applyFont="1" applyFill="1" applyBorder="1" applyAlignment="1">
      <alignment horizontal="right" vertical="center"/>
    </xf>
    <xf numFmtId="0" fontId="44" fillId="2" borderId="0" xfId="0" applyFont="1" applyFill="1" applyAlignment="1" applyProtection="1">
      <alignment horizontal="left" vertical="center" wrapText="1"/>
      <protection hidden="1"/>
    </xf>
    <xf numFmtId="0" fontId="3" fillId="3" borderId="0" xfId="0" applyFont="1" applyFill="1" applyAlignment="1" applyProtection="1">
      <alignment horizontal="right" vertical="center"/>
      <protection hidden="1"/>
    </xf>
    <xf numFmtId="0" fontId="15" fillId="3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26" fillId="2" borderId="0" xfId="0" applyFont="1" applyFill="1"/>
    <xf numFmtId="49" fontId="3" fillId="3" borderId="62" xfId="0" applyNumberFormat="1" applyFont="1" applyFill="1" applyBorder="1" applyAlignment="1" applyProtection="1">
      <alignment vertical="center"/>
      <protection hidden="1"/>
    </xf>
    <xf numFmtId="49" fontId="3" fillId="3" borderId="0" xfId="0" applyNumberFormat="1" applyFont="1" applyFill="1" applyAlignment="1" applyProtection="1">
      <alignment vertical="center"/>
      <protection hidden="1"/>
    </xf>
    <xf numFmtId="0" fontId="0" fillId="3" borderId="67" xfId="0" applyFill="1" applyBorder="1" applyAlignment="1" applyProtection="1">
      <alignment horizontal="right"/>
      <protection hidden="1"/>
    </xf>
    <xf numFmtId="0" fontId="0" fillId="3" borderId="52" xfId="0" applyFill="1" applyBorder="1" applyAlignment="1" applyProtection="1">
      <alignment horizontal="right"/>
      <protection hidden="1"/>
    </xf>
    <xf numFmtId="0" fontId="15" fillId="4" borderId="1" xfId="0" applyFont="1" applyFill="1" applyBorder="1" applyAlignment="1" applyProtection="1">
      <alignment horizontal="center" vertical="center"/>
      <protection locked="0" hidden="1"/>
    </xf>
    <xf numFmtId="0" fontId="15" fillId="4" borderId="46" xfId="0" applyFont="1" applyFill="1" applyBorder="1" applyAlignment="1" applyProtection="1">
      <alignment horizontal="center" vertical="center"/>
      <protection locked="0" hidden="1"/>
    </xf>
    <xf numFmtId="0" fontId="0" fillId="3" borderId="1" xfId="0" applyFill="1" applyBorder="1" applyProtection="1">
      <protection hidden="1"/>
    </xf>
    <xf numFmtId="0" fontId="15" fillId="4" borderId="46" xfId="0" applyFont="1" applyFill="1" applyBorder="1" applyProtection="1">
      <protection locked="0" hidden="1"/>
    </xf>
    <xf numFmtId="0" fontId="3" fillId="3" borderId="28" xfId="0" applyFont="1" applyFill="1" applyBorder="1" applyAlignment="1" applyProtection="1">
      <alignment wrapText="1"/>
      <protection hidden="1"/>
    </xf>
    <xf numFmtId="0" fontId="3" fillId="3" borderId="68" xfId="0" applyFont="1" applyFill="1" applyBorder="1" applyAlignment="1" applyProtection="1">
      <alignment vertical="center"/>
      <protection hidden="1"/>
    </xf>
    <xf numFmtId="0" fontId="3" fillId="3" borderId="50" xfId="0" applyFont="1" applyFill="1" applyBorder="1" applyProtection="1">
      <protection hidden="1"/>
    </xf>
    <xf numFmtId="0" fontId="45" fillId="2" borderId="0" xfId="0" applyFont="1" applyFill="1" applyProtection="1">
      <protection hidden="1"/>
    </xf>
    <xf numFmtId="0" fontId="58" fillId="2" borderId="0" xfId="0" applyFont="1" applyFill="1" applyProtection="1">
      <protection hidden="1"/>
    </xf>
    <xf numFmtId="0" fontId="45" fillId="2" borderId="0" xfId="0" applyFont="1" applyFill="1" applyAlignment="1" applyProtection="1">
      <alignment horizontal="right"/>
      <protection hidden="1"/>
    </xf>
    <xf numFmtId="2" fontId="39" fillId="2" borderId="0" xfId="0" applyNumberFormat="1" applyFont="1" applyFill="1" applyProtection="1">
      <protection hidden="1"/>
    </xf>
    <xf numFmtId="3" fontId="3" fillId="3" borderId="20" xfId="0" applyNumberFormat="1" applyFont="1" applyFill="1" applyBorder="1" applyAlignment="1" applyProtection="1">
      <alignment horizontal="right"/>
      <protection hidden="1"/>
    </xf>
    <xf numFmtId="3" fontId="3" fillId="3" borderId="20" xfId="0" applyNumberFormat="1" applyFont="1" applyFill="1" applyBorder="1" applyAlignment="1" applyProtection="1">
      <alignment horizontal="left" indent="1"/>
      <protection hidden="1"/>
    </xf>
    <xf numFmtId="0" fontId="3" fillId="3" borderId="27" xfId="0" applyFont="1" applyFill="1" applyBorder="1" applyAlignment="1" applyProtection="1">
      <alignment horizontal="right"/>
      <protection hidden="1"/>
    </xf>
    <xf numFmtId="0" fontId="3" fillId="3" borderId="69" xfId="0" applyFont="1" applyFill="1" applyBorder="1" applyAlignment="1" applyProtection="1">
      <alignment horizontal="center"/>
      <protection hidden="1"/>
    </xf>
    <xf numFmtId="0" fontId="3" fillId="3" borderId="69" xfId="0" applyFont="1" applyFill="1" applyBorder="1" applyProtection="1">
      <protection hidden="1"/>
    </xf>
    <xf numFmtId="0" fontId="3" fillId="3" borderId="70" xfId="0" applyFont="1" applyFill="1" applyBorder="1" applyProtection="1">
      <protection hidden="1"/>
    </xf>
    <xf numFmtId="0" fontId="15" fillId="4" borderId="47" xfId="0" applyFont="1" applyFill="1" applyBorder="1" applyAlignment="1" applyProtection="1">
      <alignment horizontal="center" vertical="center"/>
      <protection locked="0" hidden="1"/>
    </xf>
    <xf numFmtId="0" fontId="3" fillId="3" borderId="62" xfId="0" applyFont="1" applyFill="1" applyBorder="1" applyAlignment="1" applyProtection="1">
      <alignment horizontal="center" vertical="center"/>
      <protection hidden="1"/>
    </xf>
    <xf numFmtId="165" fontId="3" fillId="3" borderId="42" xfId="0" applyNumberFormat="1" applyFont="1" applyFill="1" applyBorder="1" applyAlignment="1" applyProtection="1">
      <alignment vertical="center"/>
      <protection hidden="1"/>
    </xf>
    <xf numFmtId="2" fontId="3" fillId="3" borderId="42" xfId="0" applyNumberFormat="1" applyFont="1" applyFill="1" applyBorder="1" applyAlignment="1" applyProtection="1">
      <alignment vertical="center"/>
      <protection hidden="1"/>
    </xf>
    <xf numFmtId="49" fontId="3" fillId="3" borderId="42" xfId="0" applyNumberFormat="1" applyFont="1" applyFill="1" applyBorder="1" applyAlignment="1" applyProtection="1">
      <alignment vertical="center"/>
      <protection hidden="1"/>
    </xf>
    <xf numFmtId="164" fontId="3" fillId="3" borderId="26" xfId="0" applyNumberFormat="1" applyFont="1" applyFill="1" applyBorder="1" applyProtection="1">
      <protection hidden="1"/>
    </xf>
    <xf numFmtId="0" fontId="0" fillId="3" borderId="40" xfId="0" applyFill="1" applyBorder="1" applyAlignment="1" applyProtection="1">
      <alignment horizontal="right"/>
      <protection hidden="1"/>
    </xf>
    <xf numFmtId="1" fontId="3" fillId="3" borderId="42" xfId="0" applyNumberFormat="1" applyFont="1" applyFill="1" applyBorder="1" applyAlignment="1" applyProtection="1">
      <alignment vertical="center"/>
      <protection hidden="1"/>
    </xf>
    <xf numFmtId="0" fontId="15" fillId="4" borderId="62" xfId="0" applyFont="1" applyFill="1" applyBorder="1" applyAlignment="1" applyProtection="1">
      <alignment horizontal="center" vertical="center"/>
      <protection locked="0" hidden="1"/>
    </xf>
    <xf numFmtId="2" fontId="12" fillId="3" borderId="46" xfId="0" applyNumberFormat="1" applyFont="1" applyFill="1" applyBorder="1" applyAlignment="1" applyProtection="1">
      <alignment vertical="center"/>
      <protection hidden="1"/>
    </xf>
    <xf numFmtId="0" fontId="35" fillId="2" borderId="0" xfId="0" applyFont="1" applyFill="1" applyAlignment="1" applyProtection="1">
      <alignment horizontal="right" vertical="center" wrapText="1"/>
      <protection hidden="1"/>
    </xf>
    <xf numFmtId="2" fontId="35" fillId="2" borderId="0" xfId="0" applyNumberFormat="1" applyFont="1" applyFill="1" applyAlignment="1" applyProtection="1">
      <alignment vertical="center"/>
      <protection hidden="1"/>
    </xf>
    <xf numFmtId="0" fontId="35" fillId="2" borderId="0" xfId="0" applyFont="1" applyFill="1" applyAlignment="1" applyProtection="1">
      <alignment vertical="center"/>
      <protection hidden="1"/>
    </xf>
    <xf numFmtId="0" fontId="60" fillId="2" borderId="0" xfId="0" applyFont="1" applyFill="1" applyProtection="1">
      <protection hidden="1"/>
    </xf>
    <xf numFmtId="0" fontId="60" fillId="0" borderId="15" xfId="0" applyFont="1" applyBorder="1" applyProtection="1">
      <protection hidden="1"/>
    </xf>
    <xf numFmtId="0" fontId="60" fillId="0" borderId="11" xfId="0" applyFont="1" applyBorder="1" applyProtection="1">
      <protection hidden="1"/>
    </xf>
    <xf numFmtId="0" fontId="60" fillId="2" borderId="11" xfId="0" applyFont="1" applyFill="1" applyBorder="1" applyProtection="1">
      <protection hidden="1"/>
    </xf>
    <xf numFmtId="0" fontId="60" fillId="0" borderId="65" xfId="0" applyFont="1" applyBorder="1" applyProtection="1">
      <protection hidden="1"/>
    </xf>
    <xf numFmtId="0" fontId="61" fillId="3" borderId="25" xfId="0" applyFont="1" applyFill="1" applyBorder="1" applyProtection="1">
      <protection hidden="1"/>
    </xf>
    <xf numFmtId="0" fontId="45" fillId="3" borderId="26" xfId="0" applyFont="1" applyFill="1" applyBorder="1" applyAlignment="1" applyProtection="1">
      <alignment horizontal="center" vertical="center"/>
      <protection hidden="1"/>
    </xf>
    <xf numFmtId="0" fontId="58" fillId="3" borderId="26" xfId="0" applyFont="1" applyFill="1" applyBorder="1" applyProtection="1">
      <protection hidden="1"/>
    </xf>
    <xf numFmtId="0" fontId="58" fillId="3" borderId="27" xfId="0" applyFont="1" applyFill="1" applyBorder="1" applyAlignment="1" applyProtection="1">
      <alignment vertical="center"/>
      <protection hidden="1"/>
    </xf>
    <xf numFmtId="0" fontId="45" fillId="3" borderId="44" xfId="0" applyFont="1" applyFill="1" applyBorder="1" applyProtection="1">
      <protection hidden="1"/>
    </xf>
    <xf numFmtId="0" fontId="45" fillId="3" borderId="41" xfId="0" applyFont="1" applyFill="1" applyBorder="1" applyAlignment="1" applyProtection="1">
      <alignment horizontal="right" vertical="center"/>
      <protection hidden="1"/>
    </xf>
    <xf numFmtId="1" fontId="58" fillId="3" borderId="41" xfId="0" applyNumberFormat="1" applyFont="1" applyFill="1" applyBorder="1" applyAlignment="1" applyProtection="1">
      <alignment vertical="center"/>
      <protection hidden="1"/>
    </xf>
    <xf numFmtId="0" fontId="58" fillId="3" borderId="42" xfId="0" applyFont="1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165" fontId="3" fillId="2" borderId="0" xfId="0" applyNumberFormat="1" applyFont="1" applyFill="1" applyProtection="1">
      <protection hidden="1"/>
    </xf>
    <xf numFmtId="0" fontId="0" fillId="2" borderId="8" xfId="0" applyFill="1" applyBorder="1" applyProtection="1">
      <protection hidden="1"/>
    </xf>
    <xf numFmtId="0" fontId="5" fillId="2" borderId="14" xfId="0" applyFont="1" applyFill="1" applyBorder="1" applyProtection="1">
      <protection hidden="1"/>
    </xf>
    <xf numFmtId="0" fontId="0" fillId="2" borderId="14" xfId="0" applyFill="1" applyBorder="1" applyProtection="1">
      <protection hidden="1"/>
    </xf>
    <xf numFmtId="0" fontId="0" fillId="0" borderId="45" xfId="0" applyBorder="1"/>
    <xf numFmtId="0" fontId="0" fillId="0" borderId="47" xfId="0" applyBorder="1"/>
    <xf numFmtId="0" fontId="0" fillId="0" borderId="45" xfId="0" applyBorder="1" applyAlignment="1">
      <alignment horizontal="right"/>
    </xf>
    <xf numFmtId="1" fontId="0" fillId="0" borderId="45" xfId="0" applyNumberFormat="1" applyBorder="1"/>
    <xf numFmtId="0" fontId="0" fillId="0" borderId="62" xfId="0" applyBorder="1" applyAlignment="1">
      <alignment horizontal="right"/>
    </xf>
    <xf numFmtId="0" fontId="0" fillId="4" borderId="62" xfId="0" applyFill="1" applyBorder="1" applyAlignment="1" applyProtection="1">
      <alignment horizontal="center" vertical="center"/>
      <protection locked="0" hidden="1"/>
    </xf>
    <xf numFmtId="0" fontId="66" fillId="2" borderId="0" xfId="0" applyFont="1" applyFill="1" applyProtection="1">
      <protection hidden="1"/>
    </xf>
    <xf numFmtId="0" fontId="60" fillId="2" borderId="0" xfId="0" applyFont="1" applyFill="1" applyAlignment="1" applyProtection="1">
      <alignment horizontal="right"/>
      <protection hidden="1"/>
    </xf>
    <xf numFmtId="0" fontId="6" fillId="3" borderId="44" xfId="0" applyFont="1" applyFill="1" applyBorder="1" applyAlignment="1" applyProtection="1">
      <alignment vertical="center"/>
      <protection hidden="1"/>
    </xf>
    <xf numFmtId="0" fontId="64" fillId="2" borderId="0" xfId="0" applyFont="1" applyFill="1"/>
    <xf numFmtId="0" fontId="0" fillId="2" borderId="0" xfId="0" applyFill="1" applyAlignment="1">
      <alignment horizontal="right" indent="1"/>
    </xf>
    <xf numFmtId="2" fontId="0" fillId="2" borderId="0" xfId="0" applyNumberFormat="1" applyFill="1" applyAlignment="1">
      <alignment horizontal="left"/>
    </xf>
    <xf numFmtId="0" fontId="65" fillId="2" borderId="0" xfId="0" applyFont="1" applyFill="1"/>
    <xf numFmtId="165" fontId="0" fillId="0" borderId="45" xfId="0" applyNumberFormat="1" applyBorder="1"/>
    <xf numFmtId="0" fontId="0" fillId="2" borderId="0" xfId="0" applyFill="1" applyAlignment="1">
      <alignment vertical="center"/>
    </xf>
    <xf numFmtId="0" fontId="48" fillId="2" borderId="0" xfId="0" applyFont="1" applyFill="1" applyAlignment="1" applyProtection="1">
      <alignment horizontal="center" vertical="center"/>
      <protection hidden="1"/>
    </xf>
    <xf numFmtId="0" fontId="2" fillId="0" borderId="10" xfId="0" applyFont="1" applyBorder="1" applyProtection="1"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5" fillId="0" borderId="62" xfId="0" applyFont="1" applyBorder="1" applyProtection="1">
      <protection hidden="1"/>
    </xf>
    <xf numFmtId="49" fontId="3" fillId="2" borderId="0" xfId="0" applyNumberFormat="1" applyFont="1" applyFill="1" applyAlignment="1" applyProtection="1">
      <alignment vertical="center"/>
      <protection hidden="1"/>
    </xf>
    <xf numFmtId="167" fontId="3" fillId="2" borderId="0" xfId="2" applyNumberFormat="1" applyFont="1" applyFill="1" applyProtection="1">
      <protection locked="0" hidden="1"/>
    </xf>
    <xf numFmtId="0" fontId="26" fillId="2" borderId="0" xfId="0" applyFont="1" applyFill="1" applyAlignment="1" applyProtection="1">
      <alignment horizontal="right"/>
      <protection hidden="1"/>
    </xf>
    <xf numFmtId="167" fontId="2" fillId="2" borderId="0" xfId="0" applyNumberFormat="1" applyFont="1" applyFill="1" applyProtection="1">
      <protection hidden="1"/>
    </xf>
    <xf numFmtId="167" fontId="2" fillId="0" borderId="0" xfId="0" applyNumberFormat="1" applyFont="1"/>
    <xf numFmtId="0" fontId="45" fillId="0" borderId="0" xfId="0" applyFont="1"/>
    <xf numFmtId="0" fontId="68" fillId="2" borderId="0" xfId="0" applyFont="1" applyFill="1" applyProtection="1">
      <protection hidden="1"/>
    </xf>
    <xf numFmtId="0" fontId="20" fillId="2" borderId="0" xfId="0" applyFont="1" applyFill="1" applyProtection="1">
      <protection locked="0" hidden="1"/>
    </xf>
    <xf numFmtId="0" fontId="52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53" fillId="2" borderId="0" xfId="0" applyFont="1" applyFill="1" applyAlignment="1" applyProtection="1">
      <alignment horizontal="right" vertical="center"/>
      <protection hidden="1"/>
    </xf>
    <xf numFmtId="2" fontId="53" fillId="2" borderId="0" xfId="0" applyNumberFormat="1" applyFont="1" applyFill="1" applyAlignment="1" applyProtection="1">
      <alignment horizontal="left" vertical="center"/>
      <protection hidden="1"/>
    </xf>
    <xf numFmtId="0" fontId="53" fillId="2" borderId="0" xfId="0" applyFont="1" applyFill="1" applyProtection="1">
      <protection hidden="1"/>
    </xf>
    <xf numFmtId="0" fontId="26" fillId="2" borderId="0" xfId="0" applyFont="1" applyFill="1" applyAlignment="1" applyProtection="1">
      <alignment horizontal="left" vertical="center" wrapText="1"/>
      <protection hidden="1"/>
    </xf>
    <xf numFmtId="164" fontId="53" fillId="2" borderId="0" xfId="0" applyNumberFormat="1" applyFont="1" applyFill="1" applyAlignment="1" applyProtection="1">
      <alignment horizontal="left" vertical="center"/>
      <protection hidden="1"/>
    </xf>
    <xf numFmtId="0" fontId="72" fillId="2" borderId="0" xfId="0" applyFont="1" applyFill="1" applyProtection="1">
      <protection hidden="1"/>
    </xf>
    <xf numFmtId="0" fontId="71" fillId="2" borderId="0" xfId="0" applyFont="1" applyFill="1" applyAlignment="1" applyProtection="1">
      <alignment horizontal="left" vertical="center"/>
      <protection hidden="1"/>
    </xf>
    <xf numFmtId="0" fontId="7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right" vertical="center"/>
      <protection hidden="1"/>
    </xf>
    <xf numFmtId="0" fontId="15" fillId="2" borderId="0" xfId="0" applyFont="1" applyFill="1" applyProtection="1">
      <protection hidden="1"/>
    </xf>
    <xf numFmtId="0" fontId="0" fillId="2" borderId="0" xfId="0" applyFill="1" applyAlignment="1">
      <alignment horizontal="right"/>
    </xf>
    <xf numFmtId="0" fontId="0" fillId="5" borderId="0" xfId="0" applyFill="1" applyProtection="1">
      <protection locked="0"/>
    </xf>
    <xf numFmtId="0" fontId="0" fillId="5" borderId="45" xfId="0" applyFill="1" applyBorder="1" applyProtection="1">
      <protection locked="0"/>
    </xf>
    <xf numFmtId="0" fontId="1" fillId="2" borderId="0" xfId="0" applyFont="1" applyFill="1" applyProtection="1">
      <protection locked="0" hidden="1"/>
    </xf>
    <xf numFmtId="0" fontId="1" fillId="2" borderId="0" xfId="0" applyFont="1" applyFill="1" applyProtection="1">
      <protection hidden="1"/>
    </xf>
    <xf numFmtId="2" fontId="1" fillId="2" borderId="0" xfId="0" applyNumberFormat="1" applyFont="1" applyFill="1" applyProtection="1">
      <protection hidden="1"/>
    </xf>
    <xf numFmtId="165" fontId="1" fillId="2" borderId="0" xfId="0" applyNumberFormat="1" applyFont="1" applyFill="1" applyProtection="1">
      <protection hidden="1"/>
    </xf>
    <xf numFmtId="1" fontId="1" fillId="2" borderId="0" xfId="0" applyNumberFormat="1" applyFont="1" applyFill="1" applyProtection="1">
      <protection hidden="1"/>
    </xf>
    <xf numFmtId="0" fontId="1" fillId="3" borderId="26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44" fillId="2" borderId="0" xfId="0" applyFont="1" applyFill="1" applyAlignment="1" applyProtection="1">
      <alignment horizontal="right" vertical="center"/>
      <protection hidden="1"/>
    </xf>
    <xf numFmtId="166" fontId="53" fillId="2" borderId="0" xfId="0" applyNumberFormat="1" applyFont="1" applyFill="1" applyAlignment="1" applyProtection="1">
      <alignment horizontal="left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39" fillId="2" borderId="0" xfId="0" applyFont="1" applyFill="1" applyAlignment="1" applyProtection="1">
      <alignment horizontal="left" wrapText="1"/>
      <protection hidden="1"/>
    </xf>
    <xf numFmtId="0" fontId="48" fillId="0" borderId="66" xfId="0" applyFont="1" applyBorder="1" applyAlignment="1" applyProtection="1">
      <alignment horizontal="center" vertical="center"/>
      <protection hidden="1"/>
    </xf>
    <xf numFmtId="0" fontId="48" fillId="0" borderId="10" xfId="0" applyFont="1" applyBorder="1" applyAlignment="1" applyProtection="1">
      <alignment horizontal="center" vertical="center"/>
      <protection hidden="1"/>
    </xf>
    <xf numFmtId="0" fontId="3" fillId="3" borderId="67" xfId="0" applyFont="1" applyFill="1" applyBorder="1" applyAlignment="1" applyProtection="1">
      <alignment horizontal="center"/>
      <protection hidden="1"/>
    </xf>
    <xf numFmtId="0" fontId="3" fillId="3" borderId="52" xfId="0" applyFont="1" applyFill="1" applyBorder="1" applyAlignment="1" applyProtection="1">
      <alignment horizontal="center"/>
      <protection hidden="1"/>
    </xf>
    <xf numFmtId="0" fontId="3" fillId="3" borderId="68" xfId="0" applyFont="1" applyFill="1" applyBorder="1" applyAlignment="1" applyProtection="1">
      <alignment horizontal="center"/>
      <protection hidden="1"/>
    </xf>
    <xf numFmtId="0" fontId="3" fillId="3" borderId="38" xfId="0" applyFont="1" applyFill="1" applyBorder="1" applyAlignment="1" applyProtection="1">
      <alignment horizontal="right"/>
      <protection hidden="1"/>
    </xf>
    <xf numFmtId="0" fontId="3" fillId="3" borderId="26" xfId="0" applyFont="1" applyFill="1" applyBorder="1" applyAlignment="1" applyProtection="1">
      <alignment horizontal="right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17" fillId="3" borderId="19" xfId="0" applyFont="1" applyFill="1" applyBorder="1" applyAlignment="1" applyProtection="1">
      <alignment horizontal="left" vertical="center" wrapText="1"/>
      <protection hidden="1"/>
    </xf>
    <xf numFmtId="0" fontId="3" fillId="3" borderId="20" xfId="0" applyFont="1" applyFill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4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3" xfId="0" applyFont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vertical="center" wrapText="1"/>
      <protection hidden="1"/>
    </xf>
    <xf numFmtId="0" fontId="3" fillId="2" borderId="0" xfId="0" applyFont="1" applyFill="1" applyAlignment="1" applyProtection="1">
      <alignment horizontal="left" vertical="center" wrapText="1"/>
      <protection hidden="1"/>
    </xf>
    <xf numFmtId="0" fontId="48" fillId="2" borderId="66" xfId="0" applyFont="1" applyFill="1" applyBorder="1" applyAlignment="1" applyProtection="1">
      <alignment horizontal="center" vertical="center"/>
      <protection hidden="1"/>
    </xf>
    <xf numFmtId="0" fontId="48" fillId="2" borderId="10" xfId="0" applyFont="1" applyFill="1" applyBorder="1" applyAlignment="1" applyProtection="1">
      <alignment horizontal="center" vertical="center"/>
      <protection hidden="1"/>
    </xf>
    <xf numFmtId="0" fontId="63" fillId="3" borderId="38" xfId="0" applyFont="1" applyFill="1" applyBorder="1" applyAlignment="1" applyProtection="1">
      <alignment horizontal="center" vertical="center"/>
      <protection hidden="1"/>
    </xf>
    <xf numFmtId="0" fontId="63" fillId="3" borderId="26" xfId="0" applyFont="1" applyFill="1" applyBorder="1" applyAlignment="1" applyProtection="1">
      <alignment horizontal="center" vertical="center"/>
      <protection hidden="1"/>
    </xf>
    <xf numFmtId="0" fontId="3" fillId="3" borderId="45" xfId="0" applyFont="1" applyFill="1" applyBorder="1" applyAlignment="1" applyProtection="1">
      <alignment horizontal="center" vertical="center"/>
      <protection hidden="1"/>
    </xf>
    <xf numFmtId="0" fontId="3" fillId="3" borderId="46" xfId="0" applyFont="1" applyFill="1" applyBorder="1" applyAlignment="1" applyProtection="1">
      <alignment horizontal="center" vertical="center"/>
      <protection hidden="1"/>
    </xf>
    <xf numFmtId="0" fontId="3" fillId="3" borderId="47" xfId="0" applyFont="1" applyFill="1" applyBorder="1" applyAlignment="1" applyProtection="1">
      <alignment horizontal="center" vertical="center"/>
      <protection hidden="1"/>
    </xf>
    <xf numFmtId="0" fontId="3" fillId="3" borderId="45" xfId="0" applyFont="1" applyFill="1" applyBorder="1" applyAlignment="1" applyProtection="1">
      <alignment horizontal="center"/>
      <protection hidden="1"/>
    </xf>
    <xf numFmtId="0" fontId="3" fillId="3" borderId="47" xfId="0" applyFont="1" applyFill="1" applyBorder="1" applyAlignment="1" applyProtection="1">
      <alignment horizontal="center"/>
      <protection hidden="1"/>
    </xf>
    <xf numFmtId="0" fontId="0" fillId="2" borderId="0" xfId="0" applyFill="1" applyAlignment="1">
      <alignment horizontal="center"/>
    </xf>
  </cellXfs>
  <cellStyles count="3">
    <cellStyle name="Link" xfId="1" builtinId="8"/>
    <cellStyle name="Prozent" xfId="2" builtinId="5"/>
    <cellStyle name="Standard" xfId="0" builtinId="0"/>
  </cellStyles>
  <dxfs count="181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bgColor theme="9" tint="0.79998168889431442"/>
        </patternFill>
      </fill>
    </dxf>
    <dxf>
      <font>
        <color theme="9" tint="0.79998168889431442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theme="0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fgColor theme="9" tint="0.79998168889431442"/>
          <bgColor theme="9" tint="0.79998168889431442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  <dxf>
      <font>
        <color theme="9" tint="0.79998168889431442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auto="1"/>
      </font>
      <fill>
        <patternFill patternType="none">
          <fgColor indexed="64"/>
          <bgColor auto="1"/>
        </patternFill>
      </fill>
    </dxf>
    <dxf>
      <fill>
        <patternFill>
          <fgColor theme="9" tint="0.79998168889431442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fgColor theme="9" tint="0.79998168889431442"/>
          <bgColor theme="9" tint="0.79998168889431442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  <dxf>
      <font>
        <color theme="9" tint="0.79998168889431442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fgColor theme="9" tint="0.79998168889431442"/>
          <bgColor theme="9" tint="0.79998168889431442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  <dxf>
      <font>
        <color theme="9" tint="0.79998168889431442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Biegelinie nach Zimmermann</a:t>
            </a:r>
          </a:p>
        </c:rich>
      </c:tx>
      <c:layout>
        <c:manualLayout>
          <c:xMode val="edge"/>
          <c:yMode val="edge"/>
          <c:x val="0.36273983648797542"/>
          <c:y val="5.100260635366327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460400898595771"/>
          <c:h val="0.77309618306906125"/>
        </c:manualLayout>
      </c:layout>
      <c:scatterChart>
        <c:scatterStyle val="smoothMarker"/>
        <c:varyColors val="0"/>
        <c:ser>
          <c:idx val="5"/>
          <c:order val="0"/>
          <c:tx>
            <c:strRef>
              <c:f>Schotteroberbau_L!$N$5</c:f>
              <c:strCache>
                <c:ptCount val="1"/>
                <c:pt idx="0">
                  <c:v>Einsenkungen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dPt>
            <c:idx val="215"/>
            <c:bubble3D val="0"/>
            <c:extLst>
              <c:ext xmlns:c16="http://schemas.microsoft.com/office/drawing/2014/chart" uri="{C3380CC4-5D6E-409C-BE32-E72D297353CC}">
                <c16:uniqueId val="{00000000-E311-4BB4-8C6B-36F7883EBF0A}"/>
              </c:ext>
            </c:extLst>
          </c:dPt>
          <c:xVal>
            <c:numRef>
              <c:f>Schotteroberbau_L!$M$8:$M$330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Schotteroberbau_L!$N$8:$N$330</c:f>
              <c:numCache>
                <c:formatCode>0.00</c:formatCode>
                <c:ptCount val="3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2FD2-4EAD-AF2B-7A02F30C4436}"/>
            </c:ext>
          </c:extLst>
        </c:ser>
        <c:ser>
          <c:idx val="6"/>
          <c:order val="1"/>
          <c:tx>
            <c:strRef>
              <c:f>Schotteroberbau_L!$A$48</c:f>
              <c:strCache>
                <c:ptCount val="1"/>
                <c:pt idx="0">
                  <c:v>Achse 1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19-2FD2-4EAD-AF2B-7A02F30C4436}"/>
              </c:ext>
            </c:extLst>
          </c:dPt>
          <c:xVal>
            <c:numRef>
              <c:f>(Schotteroberbau_L!$B$48,Schotteroberbau_L!$B$48)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(Schotteroberbau_L!$C$48,Schotteroberbau_L!$E$48)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2FD2-4EAD-AF2B-7A02F30C4436}"/>
            </c:ext>
          </c:extLst>
        </c:ser>
        <c:ser>
          <c:idx val="7"/>
          <c:order val="2"/>
          <c:tx>
            <c:strRef>
              <c:f>Schotteroberbau_L!$A$49</c:f>
              <c:strCache>
                <c:ptCount val="1"/>
                <c:pt idx="0">
                  <c:v>Achse 2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xVal>
            <c:numRef>
              <c:f>(Schotteroberbau_L!$B$49,Schotteroberbau_L!$B$49)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(Schotteroberbau_L!$C$49,Schotteroberbau_L!$E$49)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2FD2-4EAD-AF2B-7A02F30C4436}"/>
            </c:ext>
          </c:extLst>
        </c:ser>
        <c:ser>
          <c:idx val="8"/>
          <c:order val="3"/>
          <c:tx>
            <c:strRef>
              <c:f>Schotteroberbau_L!$A$50</c:f>
              <c:strCache>
                <c:ptCount val="1"/>
                <c:pt idx="0">
                  <c:v>Achse 3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1C-2FD2-4EAD-AF2B-7A02F30C4436}"/>
              </c:ext>
            </c:extLst>
          </c:dPt>
          <c:xVal>
            <c:numRef>
              <c:f>(Schotteroberbau_L!$B$50,Schotteroberbau_L!$B$50)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(Schotteroberbau_L!$C$50,Schotteroberbau_L!$E$50)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2FD2-4EAD-AF2B-7A02F30C4436}"/>
            </c:ext>
          </c:extLst>
        </c:ser>
        <c:ser>
          <c:idx val="9"/>
          <c:order val="4"/>
          <c:tx>
            <c:strRef>
              <c:f>Schotteroberbau_L!$A$51</c:f>
              <c:strCache>
                <c:ptCount val="1"/>
                <c:pt idx="0">
                  <c:v>Achse 4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xVal>
            <c:numRef>
              <c:f>(Schotteroberbau_L!$B$51,Schotteroberbau_L!$B$51)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(Schotteroberbau_L!$C$51,Schotteroberbau_L!$E$51)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2FD2-4EAD-AF2B-7A02F30C4436}"/>
            </c:ext>
          </c:extLst>
        </c:ser>
        <c:ser>
          <c:idx val="0"/>
          <c:order val="5"/>
          <c:tx>
            <c:strRef>
              <c:f>Schotteroberbau_L!$N$5</c:f>
              <c:strCache>
                <c:ptCount val="1"/>
                <c:pt idx="0">
                  <c:v>Einsenkungen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Schotteroberbau_L!$M$8:$M$330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Schotteroberbau_L!$N$8:$N$330</c:f>
              <c:numCache>
                <c:formatCode>0.00</c:formatCode>
                <c:ptCount val="3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FD2-4EAD-AF2B-7A02F30C4436}"/>
            </c:ext>
          </c:extLst>
        </c:ser>
        <c:ser>
          <c:idx val="1"/>
          <c:order val="6"/>
          <c:tx>
            <c:strRef>
              <c:f>Schotteroberbau_L!$A$48</c:f>
              <c:strCache>
                <c:ptCount val="1"/>
                <c:pt idx="0">
                  <c:v>Achse 1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xVal>
            <c:numRef>
              <c:f>(Schotteroberbau_L!$B$48,Schotteroberbau_L!$B$48)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(Schotteroberbau_L!$C$48,Schotteroberbau_L!$E$48)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FD2-4EAD-AF2B-7A02F30C4436}"/>
            </c:ext>
          </c:extLst>
        </c:ser>
        <c:ser>
          <c:idx val="2"/>
          <c:order val="7"/>
          <c:tx>
            <c:strRef>
              <c:f>Schotteroberbau_L!$A$49</c:f>
              <c:strCache>
                <c:ptCount val="1"/>
                <c:pt idx="0">
                  <c:v>Achse 2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xVal>
            <c:numRef>
              <c:f>(Schotteroberbau_L!$B$49,Schotteroberbau_L!$B$49)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(Schotteroberbau_L!$C$49,Schotteroberbau_L!$E$49)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2FD2-4EAD-AF2B-7A02F30C4436}"/>
            </c:ext>
          </c:extLst>
        </c:ser>
        <c:ser>
          <c:idx val="3"/>
          <c:order val="8"/>
          <c:tx>
            <c:strRef>
              <c:f>Schotteroberbau_L!$A$50</c:f>
              <c:strCache>
                <c:ptCount val="1"/>
                <c:pt idx="0">
                  <c:v>Achse 3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xVal>
            <c:numRef>
              <c:f>(Schotteroberbau_L!$B$50,Schotteroberbau_L!$B$50)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(Schotteroberbau_L!$C$50,Schotteroberbau_L!$E$50)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2FD2-4EAD-AF2B-7A02F30C4436}"/>
            </c:ext>
          </c:extLst>
        </c:ser>
        <c:ser>
          <c:idx val="4"/>
          <c:order val="9"/>
          <c:tx>
            <c:strRef>
              <c:f>Schotteroberbau_L!$A$51</c:f>
              <c:strCache>
                <c:ptCount val="1"/>
                <c:pt idx="0">
                  <c:v>Achse 4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xVal>
            <c:numRef>
              <c:f>(Schotteroberbau_L!$B$51,Schotteroberbau_L!$B$51)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(Schotteroberbau_L!$C$51,Schotteroberbau_L!$E$51)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2FD2-4EAD-AF2B-7A02F30C4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97952"/>
        <c:axId val="142008320"/>
      </c:scatterChart>
      <c:valAx>
        <c:axId val="141997952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3348906109340507"/>
              <c:y val="0.9490871620132399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2008320"/>
        <c:crosses val="autoZero"/>
        <c:crossBetween val="midCat"/>
        <c:majorUnit val="1"/>
        <c:minorUnit val="0.5"/>
      </c:valAx>
      <c:valAx>
        <c:axId val="142008320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Einsenkung [mm]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1997952"/>
        <c:crosses val="autoZero"/>
        <c:crossBetween val="midCat"/>
        <c:majorUnit val="0.1"/>
        <c:minorUnit val="2.0000000000000004E-2"/>
      </c:valAx>
    </c:plotArea>
    <c:plotVisOnly val="0"/>
    <c:dispBlanksAs val="span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Normalspannungen</a:t>
            </a:r>
          </a:p>
        </c:rich>
      </c:tx>
      <c:layout>
        <c:manualLayout>
          <c:xMode val="edge"/>
          <c:yMode val="edge"/>
          <c:x val="0.4047065072002356"/>
          <c:y val="6.19256141147950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460400898595771"/>
          <c:h val="0.77309618306906125"/>
        </c:manualLayout>
      </c:layout>
      <c:scatterChart>
        <c:scatterStyle val="smoothMarker"/>
        <c:varyColors val="0"/>
        <c:ser>
          <c:idx val="1"/>
          <c:order val="1"/>
          <c:tx>
            <c:strRef>
              <c:f>Schotteroberbau_L!$Q$5</c:f>
              <c:strCache>
                <c:ptCount val="1"/>
                <c:pt idx="0">
                  <c:v>Spannungen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Schotteroberbau_L!$M$8:$M$330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Schotteroberbau_L!$Q$8:$Q$330</c:f>
              <c:numCache>
                <c:formatCode>0.00</c:formatCode>
                <c:ptCount val="3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33-412C-888F-AC4C67C0F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25216"/>
        <c:axId val="14322713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[1]System_mit_Schwellen!$V$6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15875">
                    <a:solidFill>
                      <a:srgbClr val="0070C0"/>
                    </a:solidFill>
                  </a:ln>
                </c:spPr>
                <c:marker>
                  <c:symbol val="none"/>
                </c:marker>
                <c:dPt>
                  <c:idx val="215"/>
                  <c:bubble3D val="0"/>
                  <c:extLst>
                    <c:ext xmlns:c16="http://schemas.microsoft.com/office/drawing/2014/chart" uri="{C3380CC4-5D6E-409C-BE32-E72D297353CC}">
                      <c16:uniqueId val="{00000001-7C33-412C-888F-AC4C67C0F656}"/>
                    </c:ext>
                  </c:extLst>
                </c:dPt>
                <c:xVal>
                  <c:numLit>
                    <c:formatCode>General</c:formatCode>
                    <c:ptCount val="323"/>
                    <c:pt idx="0">
                      <c:v>0</c:v>
                    </c:pt>
                    <c:pt idx="1">
                      <c:v>0.1</c:v>
                    </c:pt>
                    <c:pt idx="2">
                      <c:v>0.2</c:v>
                    </c:pt>
                    <c:pt idx="3">
                      <c:v>0.30000000000000004</c:v>
                    </c:pt>
                    <c:pt idx="5">
                      <c:v>0.4</c:v>
                    </c:pt>
                    <c:pt idx="6">
                      <c:v>0.5</c:v>
                    </c:pt>
                    <c:pt idx="7">
                      <c:v>0.6</c:v>
                    </c:pt>
                    <c:pt idx="8">
                      <c:v>0.7</c:v>
                    </c:pt>
                    <c:pt idx="10">
                      <c:v>0.79999999999999993</c:v>
                    </c:pt>
                    <c:pt idx="11">
                      <c:v>0.89999999999999991</c:v>
                    </c:pt>
                    <c:pt idx="12">
                      <c:v>0.99999999999999989</c:v>
                    </c:pt>
                    <c:pt idx="13">
                      <c:v>1.0999999999999999</c:v>
                    </c:pt>
                    <c:pt idx="14">
                      <c:v>1.2</c:v>
                    </c:pt>
                    <c:pt idx="15">
                      <c:v>1.3</c:v>
                    </c:pt>
                    <c:pt idx="16">
                      <c:v>1.4000000000000001</c:v>
                    </c:pt>
                    <c:pt idx="17">
                      <c:v>1.5000000000000002</c:v>
                    </c:pt>
                    <c:pt idx="18">
                      <c:v>1.6000000000000003</c:v>
                    </c:pt>
                    <c:pt idx="19">
                      <c:v>1.7000000000000004</c:v>
                    </c:pt>
                    <c:pt idx="20">
                      <c:v>1.8000000000000005</c:v>
                    </c:pt>
                    <c:pt idx="21">
                      <c:v>1.9000000000000006</c:v>
                    </c:pt>
                    <c:pt idx="22">
                      <c:v>2.0000000000000004</c:v>
                    </c:pt>
                    <c:pt idx="23">
                      <c:v>2.1000000000000005</c:v>
                    </c:pt>
                    <c:pt idx="24">
                      <c:v>2.2000000000000006</c:v>
                    </c:pt>
                    <c:pt idx="25">
                      <c:v>2.3000000000000007</c:v>
                    </c:pt>
                    <c:pt idx="26">
                      <c:v>2.4000000000000008</c:v>
                    </c:pt>
                    <c:pt idx="27">
                      <c:v>2.5000000000000009</c:v>
                    </c:pt>
                    <c:pt idx="28">
                      <c:v>2.600000000000001</c:v>
                    </c:pt>
                    <c:pt idx="29">
                      <c:v>2.7000000000000011</c:v>
                    </c:pt>
                    <c:pt idx="30">
                      <c:v>2.8000000000000012</c:v>
                    </c:pt>
                    <c:pt idx="31">
                      <c:v>2.9000000000000012</c:v>
                    </c:pt>
                    <c:pt idx="32">
                      <c:v>3.0000000000000013</c:v>
                    </c:pt>
                    <c:pt idx="33">
                      <c:v>3.1000000000000014</c:v>
                    </c:pt>
                    <c:pt idx="34">
                      <c:v>3.2000000000000015</c:v>
                    </c:pt>
                    <c:pt idx="35">
                      <c:v>3.3000000000000016</c:v>
                    </c:pt>
                    <c:pt idx="36">
                      <c:v>3.4000000000000017</c:v>
                    </c:pt>
                    <c:pt idx="37">
                      <c:v>3.5000000000000018</c:v>
                    </c:pt>
                    <c:pt idx="38">
                      <c:v>3.6000000000000019</c:v>
                    </c:pt>
                    <c:pt idx="39">
                      <c:v>3.700000000000002</c:v>
                    </c:pt>
                    <c:pt idx="40">
                      <c:v>3.800000000000002</c:v>
                    </c:pt>
                    <c:pt idx="41">
                      <c:v>3.9000000000000021</c:v>
                    </c:pt>
                    <c:pt idx="42">
                      <c:v>4.0000000000000018</c:v>
                    </c:pt>
                    <c:pt idx="43">
                      <c:v>4.1000000000000014</c:v>
                    </c:pt>
                    <c:pt idx="44">
                      <c:v>4.2000000000000011</c:v>
                    </c:pt>
                    <c:pt idx="45">
                      <c:v>4.3000000000000007</c:v>
                    </c:pt>
                    <c:pt idx="46">
                      <c:v>4.4000000000000004</c:v>
                    </c:pt>
                    <c:pt idx="47">
                      <c:v>4.5</c:v>
                    </c:pt>
                    <c:pt idx="48">
                      <c:v>4.5999999999999996</c:v>
                    </c:pt>
                    <c:pt idx="49">
                      <c:v>4.6999999999999993</c:v>
                    </c:pt>
                    <c:pt idx="50">
                      <c:v>4.7999999999999989</c:v>
                    </c:pt>
                    <c:pt idx="51">
                      <c:v>4.8999999999999986</c:v>
                    </c:pt>
                    <c:pt idx="52">
                      <c:v>4.9999999999999982</c:v>
                    </c:pt>
                    <c:pt idx="53">
                      <c:v>5.0999999999999979</c:v>
                    </c:pt>
                    <c:pt idx="54">
                      <c:v>5.1999999999999975</c:v>
                    </c:pt>
                    <c:pt idx="55">
                      <c:v>5.2999999999999972</c:v>
                    </c:pt>
                    <c:pt idx="56">
                      <c:v>5.3999999999999968</c:v>
                    </c:pt>
                    <c:pt idx="57">
                      <c:v>5.4999999999999964</c:v>
                    </c:pt>
                    <c:pt idx="58">
                      <c:v>5.5999999999999961</c:v>
                    </c:pt>
                    <c:pt idx="59">
                      <c:v>5.6999999999999957</c:v>
                    </c:pt>
                    <c:pt idx="60">
                      <c:v>5.7999999999999954</c:v>
                    </c:pt>
                    <c:pt idx="61">
                      <c:v>5.899999999999995</c:v>
                    </c:pt>
                    <c:pt idx="62">
                      <c:v>5.9999999999999947</c:v>
                    </c:pt>
                    <c:pt idx="63">
                      <c:v>6.0999999999999943</c:v>
                    </c:pt>
                    <c:pt idx="64">
                      <c:v>6.199999999999994</c:v>
                    </c:pt>
                    <c:pt idx="65">
                      <c:v>6.2999999999999936</c:v>
                    </c:pt>
                    <c:pt idx="66">
                      <c:v>6.3999999999999932</c:v>
                    </c:pt>
                    <c:pt idx="67">
                      <c:v>6.4999999999999929</c:v>
                    </c:pt>
                    <c:pt idx="68">
                      <c:v>6.5999999999999925</c:v>
                    </c:pt>
                    <c:pt idx="69">
                      <c:v>6.6999999999999922</c:v>
                    </c:pt>
                    <c:pt idx="70">
                      <c:v>6.7999999999999918</c:v>
                    </c:pt>
                    <c:pt idx="71">
                      <c:v>6.8999999999999915</c:v>
                    </c:pt>
                    <c:pt idx="72">
                      <c:v>6.9999999999999911</c:v>
                    </c:pt>
                    <c:pt idx="73">
                      <c:v>7.0999999999999908</c:v>
                    </c:pt>
                    <c:pt idx="74">
                      <c:v>7.1999999999999904</c:v>
                    </c:pt>
                    <c:pt idx="75">
                      <c:v>7.2999999999999901</c:v>
                    </c:pt>
                    <c:pt idx="76">
                      <c:v>7.3999999999999897</c:v>
                    </c:pt>
                    <c:pt idx="77">
                      <c:v>7.4999999999999893</c:v>
                    </c:pt>
                    <c:pt idx="78">
                      <c:v>7.599999999999989</c:v>
                    </c:pt>
                    <c:pt idx="79">
                      <c:v>7.6999999999999886</c:v>
                    </c:pt>
                    <c:pt idx="80">
                      <c:v>7.7999999999999883</c:v>
                    </c:pt>
                    <c:pt idx="81">
                      <c:v>7.8999999999999879</c:v>
                    </c:pt>
                    <c:pt idx="82">
                      <c:v>7.9999999999999876</c:v>
                    </c:pt>
                    <c:pt idx="83">
                      <c:v>8.0999999999999872</c:v>
                    </c:pt>
                    <c:pt idx="84">
                      <c:v>8.1999999999999869</c:v>
                    </c:pt>
                    <c:pt idx="85">
                      <c:v>8.2999999999999865</c:v>
                    </c:pt>
                    <c:pt idx="86">
                      <c:v>8.3999999999999861</c:v>
                    </c:pt>
                    <c:pt idx="87">
                      <c:v>8.4999999999999858</c:v>
                    </c:pt>
                    <c:pt idx="88">
                      <c:v>8.5999999999999854</c:v>
                    </c:pt>
                    <c:pt idx="89">
                      <c:v>8.6999999999999851</c:v>
                    </c:pt>
                    <c:pt idx="90">
                      <c:v>8.7999999999999847</c:v>
                    </c:pt>
                    <c:pt idx="91">
                      <c:v>8.8999999999999844</c:v>
                    </c:pt>
                    <c:pt idx="92">
                      <c:v>8.999999999999984</c:v>
                    </c:pt>
                    <c:pt idx="93">
                      <c:v>9.0999999999999837</c:v>
                    </c:pt>
                    <c:pt idx="94">
                      <c:v>9.1999999999999833</c:v>
                    </c:pt>
                    <c:pt idx="95">
                      <c:v>9.2999999999999829</c:v>
                    </c:pt>
                    <c:pt idx="96">
                      <c:v>9.3999999999999826</c:v>
                    </c:pt>
                    <c:pt idx="97">
                      <c:v>9.4999999999999822</c:v>
                    </c:pt>
                    <c:pt idx="98">
                      <c:v>9.5999999999999819</c:v>
                    </c:pt>
                    <c:pt idx="99">
                      <c:v>9.6999999999999815</c:v>
                    </c:pt>
                    <c:pt idx="100">
                      <c:v>9.7999999999999812</c:v>
                    </c:pt>
                    <c:pt idx="101">
                      <c:v>9.8999999999999808</c:v>
                    </c:pt>
                    <c:pt idx="102">
                      <c:v>9.9999999999999805</c:v>
                    </c:pt>
                    <c:pt idx="103">
                      <c:v>10.09999999999998</c:v>
                    </c:pt>
                    <c:pt idx="104">
                      <c:v>10.19999999999998</c:v>
                    </c:pt>
                    <c:pt idx="105">
                      <c:v>10.299999999999979</c:v>
                    </c:pt>
                    <c:pt idx="106">
                      <c:v>10.399999999999979</c:v>
                    </c:pt>
                    <c:pt idx="107">
                      <c:v>10.499999999999979</c:v>
                    </c:pt>
                    <c:pt idx="108">
                      <c:v>10.599999999999978</c:v>
                    </c:pt>
                    <c:pt idx="109">
                      <c:v>10.699999999999978</c:v>
                    </c:pt>
                    <c:pt idx="110">
                      <c:v>10.799999999999978</c:v>
                    </c:pt>
                    <c:pt idx="111">
                      <c:v>10.899999999999977</c:v>
                    </c:pt>
                    <c:pt idx="112">
                      <c:v>10.999999999999977</c:v>
                    </c:pt>
                    <c:pt idx="113">
                      <c:v>11.099999999999977</c:v>
                    </c:pt>
                    <c:pt idx="114">
                      <c:v>11.199999999999976</c:v>
                    </c:pt>
                    <c:pt idx="115">
                      <c:v>11.299999999999976</c:v>
                    </c:pt>
                    <c:pt idx="116">
                      <c:v>11.399999999999975</c:v>
                    </c:pt>
                    <c:pt idx="117">
                      <c:v>11.499999999999975</c:v>
                    </c:pt>
                    <c:pt idx="118">
                      <c:v>11.599999999999975</c:v>
                    </c:pt>
                    <c:pt idx="119">
                      <c:v>11.699999999999974</c:v>
                    </c:pt>
                    <c:pt idx="120">
                      <c:v>11.799999999999974</c:v>
                    </c:pt>
                    <c:pt idx="121">
                      <c:v>11.899999999999974</c:v>
                    </c:pt>
                    <c:pt idx="122">
                      <c:v>11.999999999999973</c:v>
                    </c:pt>
                    <c:pt idx="123">
                      <c:v>12.099999999999973</c:v>
                    </c:pt>
                    <c:pt idx="124">
                      <c:v>12.199999999999973</c:v>
                    </c:pt>
                    <c:pt idx="125">
                      <c:v>12.299999999999972</c:v>
                    </c:pt>
                    <c:pt idx="126">
                      <c:v>12.399999999999972</c:v>
                    </c:pt>
                    <c:pt idx="127">
                      <c:v>12.499999999999972</c:v>
                    </c:pt>
                    <c:pt idx="128">
                      <c:v>12.599999999999971</c:v>
                    </c:pt>
                    <c:pt idx="129">
                      <c:v>12.699999999999971</c:v>
                    </c:pt>
                    <c:pt idx="130">
                      <c:v>12.799999999999971</c:v>
                    </c:pt>
                    <c:pt idx="131">
                      <c:v>12.89999999999997</c:v>
                    </c:pt>
                    <c:pt idx="132">
                      <c:v>12.99999999999997</c:v>
                    </c:pt>
                    <c:pt idx="133">
                      <c:v>13.099999999999969</c:v>
                    </c:pt>
                    <c:pt idx="134">
                      <c:v>13.199999999999969</c:v>
                    </c:pt>
                    <c:pt idx="135">
                      <c:v>13.299999999999969</c:v>
                    </c:pt>
                    <c:pt idx="136">
                      <c:v>13.399999999999968</c:v>
                    </c:pt>
                    <c:pt idx="137">
                      <c:v>13.499999999999968</c:v>
                    </c:pt>
                    <c:pt idx="138">
                      <c:v>13.599999999999968</c:v>
                    </c:pt>
                    <c:pt idx="139">
                      <c:v>13.699999999999967</c:v>
                    </c:pt>
                    <c:pt idx="140">
                      <c:v>13.799999999999967</c:v>
                    </c:pt>
                    <c:pt idx="141">
                      <c:v>13.899999999999967</c:v>
                    </c:pt>
                    <c:pt idx="142">
                      <c:v>13.999999999999966</c:v>
                    </c:pt>
                    <c:pt idx="143">
                      <c:v>14.099999999999966</c:v>
                    </c:pt>
                    <c:pt idx="144">
                      <c:v>14.199999999999966</c:v>
                    </c:pt>
                    <c:pt idx="145">
                      <c:v>14.299999999999965</c:v>
                    </c:pt>
                    <c:pt idx="146">
                      <c:v>14.399999999999965</c:v>
                    </c:pt>
                    <c:pt idx="147">
                      <c:v>14.499999999999964</c:v>
                    </c:pt>
                    <c:pt idx="148">
                      <c:v>14.599999999999964</c:v>
                    </c:pt>
                    <c:pt idx="149">
                      <c:v>14.699999999999964</c:v>
                    </c:pt>
                    <c:pt idx="150">
                      <c:v>14.799999999999963</c:v>
                    </c:pt>
                    <c:pt idx="151">
                      <c:v>14.899999999999963</c:v>
                    </c:pt>
                    <c:pt idx="152">
                      <c:v>14.999999999999963</c:v>
                    </c:pt>
                    <c:pt idx="153">
                      <c:v>15.099999999999962</c:v>
                    </c:pt>
                    <c:pt idx="154">
                      <c:v>15.199999999999962</c:v>
                    </c:pt>
                    <c:pt idx="155">
                      <c:v>15.299999999999962</c:v>
                    </c:pt>
                    <c:pt idx="156">
                      <c:v>15.399999999999961</c:v>
                    </c:pt>
                    <c:pt idx="157">
                      <c:v>15.499999999999961</c:v>
                    </c:pt>
                    <c:pt idx="158">
                      <c:v>15.599999999999961</c:v>
                    </c:pt>
                    <c:pt idx="159">
                      <c:v>15.69999999999996</c:v>
                    </c:pt>
                    <c:pt idx="160">
                      <c:v>15.79999999999996</c:v>
                    </c:pt>
                    <c:pt idx="161">
                      <c:v>15.899999999999959</c:v>
                    </c:pt>
                    <c:pt idx="162">
                      <c:v>15.999999999999959</c:v>
                    </c:pt>
                    <c:pt idx="163">
                      <c:v>16.099999999999959</c:v>
                    </c:pt>
                    <c:pt idx="164">
                      <c:v>16.19999999999996</c:v>
                    </c:pt>
                    <c:pt idx="165">
                      <c:v>16.299999999999962</c:v>
                    </c:pt>
                    <c:pt idx="166">
                      <c:v>16.399999999999963</c:v>
                    </c:pt>
                    <c:pt idx="167">
                      <c:v>16.499999999999964</c:v>
                    </c:pt>
                    <c:pt idx="168">
                      <c:v>16.599999999999966</c:v>
                    </c:pt>
                    <c:pt idx="169">
                      <c:v>16.699999999999967</c:v>
                    </c:pt>
                    <c:pt idx="170">
                      <c:v>16.799999999999969</c:v>
                    </c:pt>
                    <c:pt idx="171">
                      <c:v>16.89999999999997</c:v>
                    </c:pt>
                    <c:pt idx="172">
                      <c:v>16.999999999999972</c:v>
                    </c:pt>
                    <c:pt idx="173">
                      <c:v>17.099999999999973</c:v>
                    </c:pt>
                    <c:pt idx="174">
                      <c:v>17.199999999999974</c:v>
                    </c:pt>
                    <c:pt idx="175">
                      <c:v>17.299999999999976</c:v>
                    </c:pt>
                    <c:pt idx="176">
                      <c:v>17.399999999999977</c:v>
                    </c:pt>
                    <c:pt idx="177">
                      <c:v>17.499999999999979</c:v>
                    </c:pt>
                    <c:pt idx="178">
                      <c:v>17.59999999999998</c:v>
                    </c:pt>
                    <c:pt idx="179">
                      <c:v>17.699999999999982</c:v>
                    </c:pt>
                    <c:pt idx="180">
                      <c:v>17.799999999999983</c:v>
                    </c:pt>
                    <c:pt idx="181">
                      <c:v>17.899999999999984</c:v>
                    </c:pt>
                    <c:pt idx="182">
                      <c:v>17.999999999999986</c:v>
                    </c:pt>
                    <c:pt idx="183">
                      <c:v>18.099999999999987</c:v>
                    </c:pt>
                    <c:pt idx="184">
                      <c:v>18.199999999999989</c:v>
                    </c:pt>
                    <c:pt idx="185">
                      <c:v>18.29999999999999</c:v>
                    </c:pt>
                    <c:pt idx="186">
                      <c:v>18.399999999999991</c:v>
                    </c:pt>
                    <c:pt idx="187">
                      <c:v>18.499999999999993</c:v>
                    </c:pt>
                    <c:pt idx="188">
                      <c:v>18.599999999999994</c:v>
                    </c:pt>
                    <c:pt idx="189">
                      <c:v>18.699999999999996</c:v>
                    </c:pt>
                    <c:pt idx="190">
                      <c:v>18.799999999999997</c:v>
                    </c:pt>
                    <c:pt idx="191">
                      <c:v>18.899999999999999</c:v>
                    </c:pt>
                    <c:pt idx="192">
                      <c:v>19</c:v>
                    </c:pt>
                    <c:pt idx="193">
                      <c:v>19.100000000000001</c:v>
                    </c:pt>
                    <c:pt idx="194">
                      <c:v>19.200000000000003</c:v>
                    </c:pt>
                    <c:pt idx="195">
                      <c:v>19.300000000000004</c:v>
                    </c:pt>
                    <c:pt idx="196">
                      <c:v>19.400000000000006</c:v>
                    </c:pt>
                    <c:pt idx="197">
                      <c:v>19.500000000000007</c:v>
                    </c:pt>
                    <c:pt idx="198">
                      <c:v>19.600000000000009</c:v>
                    </c:pt>
                    <c:pt idx="199">
                      <c:v>19.70000000000001</c:v>
                    </c:pt>
                    <c:pt idx="200">
                      <c:v>19.800000000000011</c:v>
                    </c:pt>
                    <c:pt idx="201">
                      <c:v>19.900000000000013</c:v>
                    </c:pt>
                    <c:pt idx="202">
                      <c:v>20.000000000000014</c:v>
                    </c:pt>
                    <c:pt idx="203">
                      <c:v>20.100000000000016</c:v>
                    </c:pt>
                    <c:pt idx="204">
                      <c:v>20.200000000000017</c:v>
                    </c:pt>
                    <c:pt idx="205">
                      <c:v>20.300000000000018</c:v>
                    </c:pt>
                    <c:pt idx="206">
                      <c:v>20.40000000000002</c:v>
                    </c:pt>
                    <c:pt idx="207">
                      <c:v>20.500000000000021</c:v>
                    </c:pt>
                    <c:pt idx="208">
                      <c:v>20.600000000000023</c:v>
                    </c:pt>
                    <c:pt idx="209">
                      <c:v>20.700000000000024</c:v>
                    </c:pt>
                    <c:pt idx="210">
                      <c:v>20.800000000000026</c:v>
                    </c:pt>
                    <c:pt idx="211">
                      <c:v>20.900000000000027</c:v>
                    </c:pt>
                    <c:pt idx="212">
                      <c:v>21.000000000000028</c:v>
                    </c:pt>
                    <c:pt idx="213">
                      <c:v>21.10000000000003</c:v>
                    </c:pt>
                    <c:pt idx="214">
                      <c:v>21.200000000000031</c:v>
                    </c:pt>
                    <c:pt idx="215">
                      <c:v>21.300000000000033</c:v>
                    </c:pt>
                    <c:pt idx="216">
                      <c:v>21.400000000000034</c:v>
                    </c:pt>
                    <c:pt idx="217">
                      <c:v>21.500000000000036</c:v>
                    </c:pt>
                    <c:pt idx="218">
                      <c:v>21.600000000000037</c:v>
                    </c:pt>
                    <c:pt idx="219">
                      <c:v>21.700000000000038</c:v>
                    </c:pt>
                    <c:pt idx="220">
                      <c:v>21.80000000000004</c:v>
                    </c:pt>
                    <c:pt idx="221">
                      <c:v>21.900000000000041</c:v>
                    </c:pt>
                    <c:pt idx="222">
                      <c:v>22.000000000000043</c:v>
                    </c:pt>
                    <c:pt idx="223">
                      <c:v>22.100000000000044</c:v>
                    </c:pt>
                    <c:pt idx="224">
                      <c:v>22.200000000000045</c:v>
                    </c:pt>
                    <c:pt idx="225">
                      <c:v>22.300000000000047</c:v>
                    </c:pt>
                    <c:pt idx="226">
                      <c:v>22.400000000000048</c:v>
                    </c:pt>
                    <c:pt idx="227">
                      <c:v>22.50000000000005</c:v>
                    </c:pt>
                    <c:pt idx="228">
                      <c:v>22.600000000000051</c:v>
                    </c:pt>
                    <c:pt idx="229">
                      <c:v>22.700000000000053</c:v>
                    </c:pt>
                    <c:pt idx="230">
                      <c:v>22.800000000000054</c:v>
                    </c:pt>
                    <c:pt idx="231">
                      <c:v>22.900000000000055</c:v>
                    </c:pt>
                    <c:pt idx="232">
                      <c:v>23.000000000000057</c:v>
                    </c:pt>
                    <c:pt idx="233">
                      <c:v>23.100000000000058</c:v>
                    </c:pt>
                    <c:pt idx="234">
                      <c:v>23.20000000000006</c:v>
                    </c:pt>
                    <c:pt idx="235">
                      <c:v>23.300000000000061</c:v>
                    </c:pt>
                    <c:pt idx="236">
                      <c:v>23.400000000000063</c:v>
                    </c:pt>
                    <c:pt idx="237">
                      <c:v>23.500000000000064</c:v>
                    </c:pt>
                    <c:pt idx="238">
                      <c:v>23.600000000000065</c:v>
                    </c:pt>
                    <c:pt idx="239">
                      <c:v>23.700000000000067</c:v>
                    </c:pt>
                    <c:pt idx="240">
                      <c:v>23.800000000000068</c:v>
                    </c:pt>
                    <c:pt idx="241">
                      <c:v>23.90000000000007</c:v>
                    </c:pt>
                    <c:pt idx="242">
                      <c:v>24.000000000000071</c:v>
                    </c:pt>
                    <c:pt idx="243">
                      <c:v>24.100000000000072</c:v>
                    </c:pt>
                    <c:pt idx="244">
                      <c:v>24.200000000000074</c:v>
                    </c:pt>
                    <c:pt idx="245">
                      <c:v>24.300000000000075</c:v>
                    </c:pt>
                    <c:pt idx="246">
                      <c:v>24.400000000000077</c:v>
                    </c:pt>
                    <c:pt idx="247">
                      <c:v>24.500000000000078</c:v>
                    </c:pt>
                    <c:pt idx="248">
                      <c:v>24.60000000000008</c:v>
                    </c:pt>
                    <c:pt idx="249">
                      <c:v>24.700000000000081</c:v>
                    </c:pt>
                    <c:pt idx="250">
                      <c:v>24.800000000000082</c:v>
                    </c:pt>
                    <c:pt idx="251">
                      <c:v>24.900000000000084</c:v>
                    </c:pt>
                    <c:pt idx="252">
                      <c:v>25.000000000000085</c:v>
                    </c:pt>
                    <c:pt idx="253">
                      <c:v>25.100000000000087</c:v>
                    </c:pt>
                    <c:pt idx="254">
                      <c:v>25.200000000000088</c:v>
                    </c:pt>
                    <c:pt idx="255">
                      <c:v>25.30000000000009</c:v>
                    </c:pt>
                    <c:pt idx="256">
                      <c:v>25.400000000000091</c:v>
                    </c:pt>
                    <c:pt idx="257">
                      <c:v>25.500000000000092</c:v>
                    </c:pt>
                    <c:pt idx="258">
                      <c:v>25.600000000000094</c:v>
                    </c:pt>
                    <c:pt idx="259">
                      <c:v>25.700000000000095</c:v>
                    </c:pt>
                    <c:pt idx="260">
                      <c:v>25.800000000000097</c:v>
                    </c:pt>
                    <c:pt idx="261">
                      <c:v>25.900000000000098</c:v>
                    </c:pt>
                    <c:pt idx="262">
                      <c:v>26.000000000000099</c:v>
                    </c:pt>
                    <c:pt idx="263">
                      <c:v>26.100000000000101</c:v>
                    </c:pt>
                    <c:pt idx="264">
                      <c:v>26.200000000000102</c:v>
                    </c:pt>
                    <c:pt idx="265">
                      <c:v>26.300000000000104</c:v>
                    </c:pt>
                    <c:pt idx="266">
                      <c:v>26.400000000000105</c:v>
                    </c:pt>
                    <c:pt idx="267">
                      <c:v>26.500000000000107</c:v>
                    </c:pt>
                    <c:pt idx="268">
                      <c:v>26.600000000000108</c:v>
                    </c:pt>
                    <c:pt idx="269">
                      <c:v>26.700000000000109</c:v>
                    </c:pt>
                    <c:pt idx="270">
                      <c:v>26.800000000000111</c:v>
                    </c:pt>
                    <c:pt idx="271">
                      <c:v>26.900000000000112</c:v>
                    </c:pt>
                    <c:pt idx="272">
                      <c:v>27.000000000000114</c:v>
                    </c:pt>
                    <c:pt idx="273">
                      <c:v>27.100000000000115</c:v>
                    </c:pt>
                    <c:pt idx="274">
                      <c:v>27.200000000000117</c:v>
                    </c:pt>
                    <c:pt idx="275">
                      <c:v>27.300000000000118</c:v>
                    </c:pt>
                    <c:pt idx="276">
                      <c:v>27.400000000000119</c:v>
                    </c:pt>
                    <c:pt idx="277">
                      <c:v>27.500000000000121</c:v>
                    </c:pt>
                    <c:pt idx="278">
                      <c:v>27.600000000000122</c:v>
                    </c:pt>
                    <c:pt idx="279">
                      <c:v>27.700000000000124</c:v>
                    </c:pt>
                    <c:pt idx="280">
                      <c:v>27.800000000000125</c:v>
                    </c:pt>
                    <c:pt idx="281">
                      <c:v>27.900000000000126</c:v>
                    </c:pt>
                    <c:pt idx="282">
                      <c:v>28.000000000000128</c:v>
                    </c:pt>
                    <c:pt idx="283">
                      <c:v>28.100000000000129</c:v>
                    </c:pt>
                    <c:pt idx="284">
                      <c:v>28.200000000000131</c:v>
                    </c:pt>
                    <c:pt idx="285">
                      <c:v>28.300000000000132</c:v>
                    </c:pt>
                    <c:pt idx="286">
                      <c:v>28.400000000000134</c:v>
                    </c:pt>
                    <c:pt idx="287">
                      <c:v>28.500000000000135</c:v>
                    </c:pt>
                    <c:pt idx="288">
                      <c:v>28.600000000000136</c:v>
                    </c:pt>
                    <c:pt idx="289">
                      <c:v>28.700000000000138</c:v>
                    </c:pt>
                    <c:pt idx="290">
                      <c:v>28.800000000000139</c:v>
                    </c:pt>
                    <c:pt idx="291">
                      <c:v>28.900000000000141</c:v>
                    </c:pt>
                    <c:pt idx="292">
                      <c:v>29.000000000000142</c:v>
                    </c:pt>
                    <c:pt idx="293">
                      <c:v>29.100000000000144</c:v>
                    </c:pt>
                    <c:pt idx="294">
                      <c:v>29.200000000000145</c:v>
                    </c:pt>
                    <c:pt idx="295">
                      <c:v>29.300000000000146</c:v>
                    </c:pt>
                    <c:pt idx="296">
                      <c:v>29.400000000000148</c:v>
                    </c:pt>
                    <c:pt idx="297">
                      <c:v>29.500000000000149</c:v>
                    </c:pt>
                    <c:pt idx="298">
                      <c:v>29.600000000000151</c:v>
                    </c:pt>
                    <c:pt idx="299">
                      <c:v>29.700000000000152</c:v>
                    </c:pt>
                    <c:pt idx="300">
                      <c:v>29.800000000000153</c:v>
                    </c:pt>
                    <c:pt idx="301">
                      <c:v>29.900000000000155</c:v>
                    </c:pt>
                    <c:pt idx="302">
                      <c:v>30.000000000000156</c:v>
                    </c:pt>
                    <c:pt idx="303">
                      <c:v>30.100000000000158</c:v>
                    </c:pt>
                    <c:pt idx="304">
                      <c:v>30.200000000000159</c:v>
                    </c:pt>
                    <c:pt idx="305">
                      <c:v>30.300000000000161</c:v>
                    </c:pt>
                    <c:pt idx="306">
                      <c:v>30.400000000000162</c:v>
                    </c:pt>
                    <c:pt idx="307">
                      <c:v>30.500000000000163</c:v>
                    </c:pt>
                    <c:pt idx="308">
                      <c:v>30.600000000000165</c:v>
                    </c:pt>
                    <c:pt idx="309">
                      <c:v>30.700000000000166</c:v>
                    </c:pt>
                    <c:pt idx="310">
                      <c:v>30.800000000000168</c:v>
                    </c:pt>
                    <c:pt idx="311">
                      <c:v>30.900000000000169</c:v>
                    </c:pt>
                    <c:pt idx="312">
                      <c:v>31.000000000000171</c:v>
                    </c:pt>
                    <c:pt idx="313">
                      <c:v>31.100000000000172</c:v>
                    </c:pt>
                    <c:pt idx="314">
                      <c:v>31.200000000000173</c:v>
                    </c:pt>
                    <c:pt idx="315">
                      <c:v>31.300000000000175</c:v>
                    </c:pt>
                    <c:pt idx="316">
                      <c:v>31.400000000000176</c:v>
                    </c:pt>
                    <c:pt idx="317">
                      <c:v>31.500000000000178</c:v>
                    </c:pt>
                    <c:pt idx="318">
                      <c:v>31.600000000000179</c:v>
                    </c:pt>
                    <c:pt idx="319">
                      <c:v>31.70000000000018</c:v>
                    </c:pt>
                    <c:pt idx="320">
                      <c:v>31.800000000000182</c:v>
                    </c:pt>
                    <c:pt idx="321">
                      <c:v>31.900000000000183</c:v>
                    </c:pt>
                    <c:pt idx="322">
                      <c:v>32</c:v>
                    </c:pt>
                  </c:numLit>
                </c:xVal>
                <c:yVal>
                  <c:numLit>
                    <c:formatCode>General</c:formatCode>
                    <c:ptCount val="323"/>
                  </c:numLit>
                </c:yVal>
                <c:smooth val="1"/>
                <c:extLst>
                  <c:ext xmlns:c16="http://schemas.microsoft.com/office/drawing/2014/chart" uri="{C3380CC4-5D6E-409C-BE32-E72D297353CC}">
                    <c16:uniqueId val="{00000002-7C33-412C-888F-AC4C67C0F656}"/>
                  </c:ext>
                </c:extLst>
              </c15:ser>
            </c15:filteredScatterSeries>
          </c:ext>
        </c:extLst>
      </c:scatterChart>
      <c:valAx>
        <c:axId val="143225216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6398507648598519"/>
              <c:y val="0.9454561256020107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227136"/>
        <c:crosses val="autoZero"/>
        <c:crossBetween val="midCat"/>
        <c:majorUnit val="1"/>
        <c:minorUnit val="0.5"/>
      </c:valAx>
      <c:valAx>
        <c:axId val="143227136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Normalspannung 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 [N/mm</a:t>
                </a:r>
                <a:r>
                  <a:rPr lang="de-DE" sz="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225216"/>
        <c:crosses val="autoZero"/>
        <c:crossBetween val="midCat"/>
      </c:valAx>
    </c:plotArea>
    <c:plotVisOnly val="0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Normalspannungen</a:t>
            </a:r>
          </a:p>
        </c:rich>
      </c:tx>
      <c:layout>
        <c:manualLayout>
          <c:xMode val="edge"/>
          <c:yMode val="edge"/>
          <c:x val="0.41827373501869297"/>
          <c:y val="4.34697947678035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732953102938839"/>
          <c:h val="0.7288937291234430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Schotteroberbau_L!$R$6</c:f>
              <c:strCache>
                <c:ptCount val="1"/>
                <c:pt idx="0">
                  <c:v>sd Reisezüge</c:v>
                </c:pt>
              </c:strCache>
            </c:strRef>
          </c:tx>
          <c:spPr>
            <a:ln w="15875">
              <a:solidFill>
                <a:schemeClr val="accent2"/>
              </a:solidFill>
            </a:ln>
          </c:spPr>
          <c:marker>
            <c:symbol val="none"/>
          </c:marker>
          <c:dPt>
            <c:idx val="215"/>
            <c:bubble3D val="0"/>
            <c:extLst>
              <c:ext xmlns:c16="http://schemas.microsoft.com/office/drawing/2014/chart" uri="{C3380CC4-5D6E-409C-BE32-E72D297353CC}">
                <c16:uniqueId val="{00000000-1DEB-4BF9-A6EC-7C58729CEC7B}"/>
              </c:ext>
            </c:extLst>
          </c:dPt>
          <c:xVal>
            <c:numRef>
              <c:f>Schotteroberbau_L!$M$8:$M$330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Schotteroberbau_L!$R$8:$R$330</c:f>
              <c:numCache>
                <c:formatCode>0.00</c:formatCode>
                <c:ptCount val="3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EB-4BF9-A6EC-7C58729CEC7B}"/>
            </c:ext>
          </c:extLst>
        </c:ser>
        <c:ser>
          <c:idx val="1"/>
          <c:order val="1"/>
          <c:tx>
            <c:strRef>
              <c:f>Schotteroberbau_L!$S$6</c:f>
              <c:strCache>
                <c:ptCount val="1"/>
                <c:pt idx="0">
                  <c:v>sd Güterzüge</c:v>
                </c:pt>
              </c:strCache>
            </c:strRef>
          </c:tx>
          <c:spPr>
            <a:ln>
              <a:solidFill>
                <a:srgbClr val="FFC000"/>
              </a:solidFill>
              <a:prstDash val="sysDot"/>
            </a:ln>
          </c:spPr>
          <c:marker>
            <c:symbol val="none"/>
          </c:marker>
          <c:xVal>
            <c:numRef>
              <c:f>Schotteroberbau_L!$M$8:$M$330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Schotteroberbau_L!$S$8:$S$330</c:f>
              <c:numCache>
                <c:formatCode>0.00</c:formatCode>
                <c:ptCount val="3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EB-4BF9-A6EC-7C58729CE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410304"/>
        <c:axId val="143412224"/>
      </c:scatterChart>
      <c:valAx>
        <c:axId val="143410304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79925364374880159"/>
              <c:y val="0.91690879938176273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412224"/>
        <c:crosses val="autoZero"/>
        <c:crossBetween val="midCat"/>
        <c:majorUnit val="1"/>
        <c:minorUnit val="0.5"/>
      </c:valAx>
      <c:valAx>
        <c:axId val="143412224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Normalspannung 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 [N/mm</a:t>
                </a:r>
                <a:r>
                  <a:rPr lang="de-DE" sz="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410304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34269676332812027"/>
          <c:y val="0.88831987825782799"/>
          <c:w val="0.39761992118127482"/>
          <c:h val="9.4980896700171763E-2"/>
        </c:manualLayout>
      </c:layout>
      <c:overlay val="0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0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Biegelinie nach Zimmermann</a:t>
            </a:r>
          </a:p>
        </c:rich>
      </c:tx>
      <c:layout>
        <c:manualLayout>
          <c:xMode val="edge"/>
          <c:yMode val="edge"/>
          <c:x val="0.36273983648797542"/>
          <c:y val="5.100260635366327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460400898595771"/>
          <c:h val="0.77309618306906125"/>
        </c:manualLayout>
      </c:layout>
      <c:scatterChart>
        <c:scatterStyle val="smoothMarker"/>
        <c:varyColors val="0"/>
        <c:ser>
          <c:idx val="5"/>
          <c:order val="0"/>
          <c:tx>
            <c:strRef>
              <c:f>Schotteroberbau!$N$5</c:f>
              <c:strCache>
                <c:ptCount val="1"/>
                <c:pt idx="0">
                  <c:v>Einsenkungen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dPt>
            <c:idx val="223"/>
            <c:bubble3D val="0"/>
            <c:extLst>
              <c:ext xmlns:c16="http://schemas.microsoft.com/office/drawing/2014/chart" uri="{C3380CC4-5D6E-409C-BE32-E72D297353CC}">
                <c16:uniqueId val="{00000000-2FEC-4FFB-9182-27B724553F60}"/>
              </c:ext>
            </c:extLst>
          </c:dPt>
          <c:xVal>
            <c:numRef>
              <c:f>Schotteroberbau!$M$8:$M$338</c:f>
              <c:numCache>
                <c:formatCode>General</c:formatCode>
                <c:ptCount val="3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5">
                  <c:v>11.899999999999974</c:v>
                </c:pt>
                <c:pt idx="130">
                  <c:v>11.999999999999973</c:v>
                </c:pt>
                <c:pt idx="131">
                  <c:v>12.099999999999973</c:v>
                </c:pt>
                <c:pt idx="132">
                  <c:v>12.199999999999973</c:v>
                </c:pt>
                <c:pt idx="133">
                  <c:v>12.299999999999972</c:v>
                </c:pt>
                <c:pt idx="134">
                  <c:v>12.399999999999972</c:v>
                </c:pt>
                <c:pt idx="135">
                  <c:v>12.499999999999972</c:v>
                </c:pt>
                <c:pt idx="136">
                  <c:v>12.599999999999971</c:v>
                </c:pt>
                <c:pt idx="137">
                  <c:v>12.699999999999971</c:v>
                </c:pt>
                <c:pt idx="138">
                  <c:v>12.799999999999971</c:v>
                </c:pt>
                <c:pt idx="139">
                  <c:v>12.89999999999997</c:v>
                </c:pt>
                <c:pt idx="140">
                  <c:v>12.99999999999997</c:v>
                </c:pt>
                <c:pt idx="141">
                  <c:v>13.099999999999969</c:v>
                </c:pt>
                <c:pt idx="142">
                  <c:v>13.199999999999969</c:v>
                </c:pt>
                <c:pt idx="143">
                  <c:v>13.299999999999969</c:v>
                </c:pt>
                <c:pt idx="144">
                  <c:v>13.399999999999968</c:v>
                </c:pt>
                <c:pt idx="145">
                  <c:v>13.499999999999968</c:v>
                </c:pt>
                <c:pt idx="146">
                  <c:v>13.599999999999968</c:v>
                </c:pt>
                <c:pt idx="147">
                  <c:v>13.699999999999967</c:v>
                </c:pt>
                <c:pt idx="148">
                  <c:v>13.799999999999967</c:v>
                </c:pt>
                <c:pt idx="149">
                  <c:v>13.899999999999967</c:v>
                </c:pt>
                <c:pt idx="150">
                  <c:v>13.999999999999966</c:v>
                </c:pt>
                <c:pt idx="151">
                  <c:v>14.099999999999966</c:v>
                </c:pt>
                <c:pt idx="152">
                  <c:v>14.199999999999966</c:v>
                </c:pt>
                <c:pt idx="153">
                  <c:v>14.299999999999965</c:v>
                </c:pt>
                <c:pt idx="154">
                  <c:v>14.399999999999965</c:v>
                </c:pt>
                <c:pt idx="155">
                  <c:v>14.499999999999964</c:v>
                </c:pt>
                <c:pt idx="156">
                  <c:v>14.599999999999964</c:v>
                </c:pt>
                <c:pt idx="157">
                  <c:v>14.699999999999964</c:v>
                </c:pt>
                <c:pt idx="158">
                  <c:v>14.799999999999963</c:v>
                </c:pt>
                <c:pt idx="159">
                  <c:v>14.899999999999963</c:v>
                </c:pt>
                <c:pt idx="160">
                  <c:v>14.999999999999963</c:v>
                </c:pt>
                <c:pt idx="161">
                  <c:v>15.099999999999962</c:v>
                </c:pt>
                <c:pt idx="162">
                  <c:v>15.199999999999962</c:v>
                </c:pt>
                <c:pt idx="163">
                  <c:v>15.299999999999962</c:v>
                </c:pt>
                <c:pt idx="164">
                  <c:v>15.399999999999961</c:v>
                </c:pt>
                <c:pt idx="165">
                  <c:v>15.499999999999961</c:v>
                </c:pt>
                <c:pt idx="166">
                  <c:v>15.599999999999961</c:v>
                </c:pt>
                <c:pt idx="167">
                  <c:v>15.69999999999996</c:v>
                </c:pt>
                <c:pt idx="168">
                  <c:v>15.79999999999996</c:v>
                </c:pt>
                <c:pt idx="169">
                  <c:v>15.899999999999959</c:v>
                </c:pt>
                <c:pt idx="170">
                  <c:v>15.999999999999959</c:v>
                </c:pt>
                <c:pt idx="171">
                  <c:v>16.099999999999959</c:v>
                </c:pt>
                <c:pt idx="172">
                  <c:v>16.19999999999996</c:v>
                </c:pt>
                <c:pt idx="173">
                  <c:v>16.299999999999962</c:v>
                </c:pt>
                <c:pt idx="174">
                  <c:v>16.399999999999963</c:v>
                </c:pt>
                <c:pt idx="175">
                  <c:v>16.499999999999964</c:v>
                </c:pt>
                <c:pt idx="176">
                  <c:v>16.599999999999966</c:v>
                </c:pt>
                <c:pt idx="177">
                  <c:v>16.699999999999967</c:v>
                </c:pt>
                <c:pt idx="178">
                  <c:v>16.799999999999969</c:v>
                </c:pt>
                <c:pt idx="179">
                  <c:v>16.89999999999997</c:v>
                </c:pt>
                <c:pt idx="180">
                  <c:v>16.999999999999972</c:v>
                </c:pt>
                <c:pt idx="181">
                  <c:v>17.099999999999973</c:v>
                </c:pt>
                <c:pt idx="182">
                  <c:v>17.199999999999974</c:v>
                </c:pt>
                <c:pt idx="183">
                  <c:v>17.299999999999976</c:v>
                </c:pt>
                <c:pt idx="184">
                  <c:v>17.399999999999977</c:v>
                </c:pt>
                <c:pt idx="185">
                  <c:v>17.499999999999979</c:v>
                </c:pt>
                <c:pt idx="186">
                  <c:v>17.59999999999998</c:v>
                </c:pt>
                <c:pt idx="187">
                  <c:v>17.699999999999982</c:v>
                </c:pt>
                <c:pt idx="188">
                  <c:v>17.799999999999983</c:v>
                </c:pt>
                <c:pt idx="189">
                  <c:v>17.899999999999984</c:v>
                </c:pt>
                <c:pt idx="190">
                  <c:v>17.999999999999986</c:v>
                </c:pt>
                <c:pt idx="191">
                  <c:v>18.099999999999987</c:v>
                </c:pt>
                <c:pt idx="192">
                  <c:v>18.199999999999989</c:v>
                </c:pt>
                <c:pt idx="193">
                  <c:v>18.29999999999999</c:v>
                </c:pt>
                <c:pt idx="194">
                  <c:v>18.399999999999991</c:v>
                </c:pt>
                <c:pt idx="195">
                  <c:v>18.499999999999993</c:v>
                </c:pt>
                <c:pt idx="196">
                  <c:v>18.599999999999994</c:v>
                </c:pt>
                <c:pt idx="197">
                  <c:v>18.699999999999996</c:v>
                </c:pt>
                <c:pt idx="198">
                  <c:v>18.799999999999997</c:v>
                </c:pt>
                <c:pt idx="199">
                  <c:v>18.899999999999999</c:v>
                </c:pt>
                <c:pt idx="200">
                  <c:v>19</c:v>
                </c:pt>
                <c:pt idx="201">
                  <c:v>19.100000000000001</c:v>
                </c:pt>
                <c:pt idx="202">
                  <c:v>19.200000000000003</c:v>
                </c:pt>
                <c:pt idx="203">
                  <c:v>19.300000000000004</c:v>
                </c:pt>
                <c:pt idx="204">
                  <c:v>19.400000000000006</c:v>
                </c:pt>
                <c:pt idx="205">
                  <c:v>19.500000000000007</c:v>
                </c:pt>
                <c:pt idx="206">
                  <c:v>19.600000000000009</c:v>
                </c:pt>
                <c:pt idx="207">
                  <c:v>19.70000000000001</c:v>
                </c:pt>
                <c:pt idx="208">
                  <c:v>19.800000000000011</c:v>
                </c:pt>
                <c:pt idx="209">
                  <c:v>19.900000000000013</c:v>
                </c:pt>
                <c:pt idx="210">
                  <c:v>20.000000000000014</c:v>
                </c:pt>
                <c:pt idx="211">
                  <c:v>20.100000000000016</c:v>
                </c:pt>
                <c:pt idx="212">
                  <c:v>20.200000000000017</c:v>
                </c:pt>
                <c:pt idx="213">
                  <c:v>20.300000000000018</c:v>
                </c:pt>
                <c:pt idx="214">
                  <c:v>20.40000000000002</c:v>
                </c:pt>
                <c:pt idx="215">
                  <c:v>20.500000000000021</c:v>
                </c:pt>
                <c:pt idx="216">
                  <c:v>20.600000000000023</c:v>
                </c:pt>
                <c:pt idx="217">
                  <c:v>20.700000000000024</c:v>
                </c:pt>
                <c:pt idx="218">
                  <c:v>20.800000000000026</c:v>
                </c:pt>
                <c:pt idx="219">
                  <c:v>20.900000000000027</c:v>
                </c:pt>
                <c:pt idx="220">
                  <c:v>21.000000000000028</c:v>
                </c:pt>
                <c:pt idx="221">
                  <c:v>21.10000000000003</c:v>
                </c:pt>
                <c:pt idx="222">
                  <c:v>21.200000000000031</c:v>
                </c:pt>
                <c:pt idx="223">
                  <c:v>21.300000000000033</c:v>
                </c:pt>
                <c:pt idx="224">
                  <c:v>21.400000000000034</c:v>
                </c:pt>
                <c:pt idx="225">
                  <c:v>21.500000000000036</c:v>
                </c:pt>
                <c:pt idx="226">
                  <c:v>21.600000000000037</c:v>
                </c:pt>
                <c:pt idx="227">
                  <c:v>21.700000000000038</c:v>
                </c:pt>
                <c:pt idx="228">
                  <c:v>21.80000000000004</c:v>
                </c:pt>
                <c:pt idx="229">
                  <c:v>21.900000000000041</c:v>
                </c:pt>
                <c:pt idx="230">
                  <c:v>22.000000000000043</c:v>
                </c:pt>
                <c:pt idx="231">
                  <c:v>22.100000000000044</c:v>
                </c:pt>
                <c:pt idx="232">
                  <c:v>22.200000000000045</c:v>
                </c:pt>
                <c:pt idx="233">
                  <c:v>22.300000000000047</c:v>
                </c:pt>
                <c:pt idx="234">
                  <c:v>22.400000000000048</c:v>
                </c:pt>
                <c:pt idx="235">
                  <c:v>22.50000000000005</c:v>
                </c:pt>
                <c:pt idx="236">
                  <c:v>22.600000000000051</c:v>
                </c:pt>
                <c:pt idx="237">
                  <c:v>22.700000000000053</c:v>
                </c:pt>
                <c:pt idx="238">
                  <c:v>22.800000000000054</c:v>
                </c:pt>
                <c:pt idx="239">
                  <c:v>22.900000000000055</c:v>
                </c:pt>
                <c:pt idx="240">
                  <c:v>23.000000000000057</c:v>
                </c:pt>
                <c:pt idx="241">
                  <c:v>23.100000000000058</c:v>
                </c:pt>
                <c:pt idx="242">
                  <c:v>23.20000000000006</c:v>
                </c:pt>
                <c:pt idx="243">
                  <c:v>23.300000000000061</c:v>
                </c:pt>
                <c:pt idx="244">
                  <c:v>23.400000000000063</c:v>
                </c:pt>
                <c:pt idx="245">
                  <c:v>23.500000000000064</c:v>
                </c:pt>
                <c:pt idx="246">
                  <c:v>23.600000000000065</c:v>
                </c:pt>
                <c:pt idx="247">
                  <c:v>23.700000000000067</c:v>
                </c:pt>
                <c:pt idx="248">
                  <c:v>23.800000000000068</c:v>
                </c:pt>
                <c:pt idx="249">
                  <c:v>23.90000000000007</c:v>
                </c:pt>
                <c:pt idx="250">
                  <c:v>24.000000000000071</c:v>
                </c:pt>
                <c:pt idx="251">
                  <c:v>24.100000000000072</c:v>
                </c:pt>
                <c:pt idx="252">
                  <c:v>24.200000000000074</c:v>
                </c:pt>
                <c:pt idx="253">
                  <c:v>24.300000000000075</c:v>
                </c:pt>
                <c:pt idx="254">
                  <c:v>24.400000000000077</c:v>
                </c:pt>
                <c:pt idx="255">
                  <c:v>24.500000000000078</c:v>
                </c:pt>
                <c:pt idx="256">
                  <c:v>24.60000000000008</c:v>
                </c:pt>
                <c:pt idx="257">
                  <c:v>24.700000000000081</c:v>
                </c:pt>
                <c:pt idx="258">
                  <c:v>24.800000000000082</c:v>
                </c:pt>
                <c:pt idx="259">
                  <c:v>24.900000000000084</c:v>
                </c:pt>
                <c:pt idx="260">
                  <c:v>25.000000000000085</c:v>
                </c:pt>
                <c:pt idx="261">
                  <c:v>25.100000000000087</c:v>
                </c:pt>
                <c:pt idx="262">
                  <c:v>25.200000000000088</c:v>
                </c:pt>
                <c:pt idx="263">
                  <c:v>25.30000000000009</c:v>
                </c:pt>
                <c:pt idx="264">
                  <c:v>25.400000000000091</c:v>
                </c:pt>
                <c:pt idx="265">
                  <c:v>25.500000000000092</c:v>
                </c:pt>
                <c:pt idx="266">
                  <c:v>25.600000000000094</c:v>
                </c:pt>
                <c:pt idx="267">
                  <c:v>25.700000000000095</c:v>
                </c:pt>
                <c:pt idx="268">
                  <c:v>25.800000000000097</c:v>
                </c:pt>
                <c:pt idx="269">
                  <c:v>25.900000000000098</c:v>
                </c:pt>
                <c:pt idx="270">
                  <c:v>26.000000000000099</c:v>
                </c:pt>
                <c:pt idx="271">
                  <c:v>26.100000000000101</c:v>
                </c:pt>
                <c:pt idx="272">
                  <c:v>26.200000000000102</c:v>
                </c:pt>
                <c:pt idx="273">
                  <c:v>26.300000000000104</c:v>
                </c:pt>
                <c:pt idx="274">
                  <c:v>26.400000000000105</c:v>
                </c:pt>
                <c:pt idx="275">
                  <c:v>26.500000000000107</c:v>
                </c:pt>
                <c:pt idx="276">
                  <c:v>26.600000000000108</c:v>
                </c:pt>
                <c:pt idx="277">
                  <c:v>26.700000000000109</c:v>
                </c:pt>
                <c:pt idx="278">
                  <c:v>26.800000000000111</c:v>
                </c:pt>
                <c:pt idx="279">
                  <c:v>26.900000000000112</c:v>
                </c:pt>
                <c:pt idx="280">
                  <c:v>27.000000000000114</c:v>
                </c:pt>
                <c:pt idx="281">
                  <c:v>27.100000000000115</c:v>
                </c:pt>
                <c:pt idx="282">
                  <c:v>27.200000000000117</c:v>
                </c:pt>
                <c:pt idx="283">
                  <c:v>27.300000000000118</c:v>
                </c:pt>
                <c:pt idx="284">
                  <c:v>27.400000000000119</c:v>
                </c:pt>
                <c:pt idx="285">
                  <c:v>27.500000000000121</c:v>
                </c:pt>
                <c:pt idx="286">
                  <c:v>27.600000000000122</c:v>
                </c:pt>
                <c:pt idx="287">
                  <c:v>27.700000000000124</c:v>
                </c:pt>
                <c:pt idx="288">
                  <c:v>27.800000000000125</c:v>
                </c:pt>
                <c:pt idx="289">
                  <c:v>27.900000000000126</c:v>
                </c:pt>
                <c:pt idx="290">
                  <c:v>28.000000000000128</c:v>
                </c:pt>
                <c:pt idx="291">
                  <c:v>28.100000000000129</c:v>
                </c:pt>
                <c:pt idx="292">
                  <c:v>28.200000000000131</c:v>
                </c:pt>
                <c:pt idx="293">
                  <c:v>28.300000000000132</c:v>
                </c:pt>
                <c:pt idx="294">
                  <c:v>28.400000000000134</c:v>
                </c:pt>
                <c:pt idx="295">
                  <c:v>28.500000000000135</c:v>
                </c:pt>
                <c:pt idx="296">
                  <c:v>28.600000000000136</c:v>
                </c:pt>
                <c:pt idx="297">
                  <c:v>28.700000000000138</c:v>
                </c:pt>
                <c:pt idx="298">
                  <c:v>28.800000000000139</c:v>
                </c:pt>
                <c:pt idx="299">
                  <c:v>28.900000000000141</c:v>
                </c:pt>
                <c:pt idx="300">
                  <c:v>29.000000000000142</c:v>
                </c:pt>
                <c:pt idx="301">
                  <c:v>29.100000000000144</c:v>
                </c:pt>
                <c:pt idx="302">
                  <c:v>29.200000000000145</c:v>
                </c:pt>
                <c:pt idx="303">
                  <c:v>29.300000000000146</c:v>
                </c:pt>
                <c:pt idx="304">
                  <c:v>29.400000000000148</c:v>
                </c:pt>
                <c:pt idx="305">
                  <c:v>29.500000000000149</c:v>
                </c:pt>
                <c:pt idx="306">
                  <c:v>29.600000000000151</c:v>
                </c:pt>
                <c:pt idx="307">
                  <c:v>29.700000000000152</c:v>
                </c:pt>
                <c:pt idx="308">
                  <c:v>29.800000000000153</c:v>
                </c:pt>
                <c:pt idx="309">
                  <c:v>29.900000000000155</c:v>
                </c:pt>
                <c:pt idx="310">
                  <c:v>30.000000000000156</c:v>
                </c:pt>
                <c:pt idx="311">
                  <c:v>30.100000000000158</c:v>
                </c:pt>
                <c:pt idx="312">
                  <c:v>30.200000000000159</c:v>
                </c:pt>
                <c:pt idx="313">
                  <c:v>30.300000000000161</c:v>
                </c:pt>
                <c:pt idx="314">
                  <c:v>30.400000000000162</c:v>
                </c:pt>
                <c:pt idx="315">
                  <c:v>30.500000000000163</c:v>
                </c:pt>
                <c:pt idx="316">
                  <c:v>30.600000000000165</c:v>
                </c:pt>
                <c:pt idx="317">
                  <c:v>30.700000000000166</c:v>
                </c:pt>
                <c:pt idx="318">
                  <c:v>30.800000000000168</c:v>
                </c:pt>
                <c:pt idx="319">
                  <c:v>30.900000000000169</c:v>
                </c:pt>
                <c:pt idx="320">
                  <c:v>31.000000000000171</c:v>
                </c:pt>
                <c:pt idx="321">
                  <c:v>31.100000000000172</c:v>
                </c:pt>
                <c:pt idx="322">
                  <c:v>31.200000000000173</c:v>
                </c:pt>
                <c:pt idx="323">
                  <c:v>31.300000000000175</c:v>
                </c:pt>
                <c:pt idx="324">
                  <c:v>31.400000000000176</c:v>
                </c:pt>
                <c:pt idx="325">
                  <c:v>31.500000000000178</c:v>
                </c:pt>
                <c:pt idx="326">
                  <c:v>31.600000000000179</c:v>
                </c:pt>
                <c:pt idx="327">
                  <c:v>31.70000000000018</c:v>
                </c:pt>
                <c:pt idx="328">
                  <c:v>31.800000000000182</c:v>
                </c:pt>
                <c:pt idx="329">
                  <c:v>31.900000000000183</c:v>
                </c:pt>
                <c:pt idx="330">
                  <c:v>32</c:v>
                </c:pt>
              </c:numCache>
            </c:numRef>
          </c:xVal>
          <c:yVal>
            <c:numRef>
              <c:f>Schotteroberbau!$N$8:$N$338</c:f>
              <c:numCache>
                <c:formatCode>0.00</c:formatCode>
                <c:ptCount val="331"/>
                <c:pt idx="0">
                  <c:v>8.6119614011383649E-9</c:v>
                </c:pt>
                <c:pt idx="1">
                  <c:v>7.6088841571087728E-9</c:v>
                </c:pt>
                <c:pt idx="2">
                  <c:v>6.0506510467434655E-9</c:v>
                </c:pt>
                <c:pt idx="3">
                  <c:v>3.8347064129445469E-9</c:v>
                </c:pt>
                <c:pt idx="4">
                  <c:v>8.6119614011383649E-9</c:v>
                </c:pt>
                <c:pt idx="5">
                  <c:v>8.526715355006422E-10</c:v>
                </c:pt>
                <c:pt idx="6">
                  <c:v>-3.0074657213114933E-9</c:v>
                </c:pt>
                <c:pt idx="7">
                  <c:v>-7.8584097893956636E-9</c:v>
                </c:pt>
                <c:pt idx="8">
                  <c:v>-1.3809755498287257E-8</c:v>
                </c:pt>
                <c:pt idx="9">
                  <c:v>8.6119614011383649E-9</c:v>
                </c:pt>
                <c:pt idx="10">
                  <c:v>-2.0963215551965023E-8</c:v>
                </c:pt>
                <c:pt idx="11">
                  <c:v>-2.9406770742012892E-8</c:v>
                </c:pt>
                <c:pt idx="12">
                  <c:v>-3.920764415971707E-8</c:v>
                </c:pt>
                <c:pt idx="13">
                  <c:v>-5.0404014321026669E-8</c:v>
                </c:pt>
                <c:pt idx="14">
                  <c:v>-6.2995402669836386E-8</c:v>
                </c:pt>
                <c:pt idx="15">
                  <c:v>-7.6931699609448779E-8</c:v>
                </c:pt>
                <c:pt idx="16">
                  <c:v>-9.2100831323934126E-8</c:v>
                </c:pt>
                <c:pt idx="17">
                  <c:v>-1.0831511851869201E-7</c:v>
                </c:pt>
                <c:pt idx="18">
                  <c:v>-1.2529643915699064E-7</c:v>
                </c:pt>
                <c:pt idx="19">
                  <c:v>-1.4266038156886266E-7</c:v>
                </c:pt>
                <c:pt idx="20">
                  <c:v>-1.5989966312047934E-7</c:v>
                </c:pt>
                <c:pt idx="21">
                  <c:v>-1.7636719393120107E-7</c:v>
                </c:pt>
                <c:pt idx="22">
                  <c:v>-1.9125928561459647E-7</c:v>
                </c:pt>
                <c:pt idx="23">
                  <c:v>-2.0359964202720259E-7</c:v>
                </c:pt>
                <c:pt idx="24">
                  <c:v>-2.1222492236997922E-7</c:v>
                </c:pt>
                <c:pt idx="25">
                  <c:v>-2.1577283591092307E-7</c:v>
                </c:pt>
                <c:pt idx="26">
                  <c:v>-2.1267391051427887E-7</c:v>
                </c:pt>
                <c:pt idx="27">
                  <c:v>-2.0114827156109487E-7</c:v>
                </c:pt>
                <c:pt idx="28">
                  <c:v>-1.7920897009484251E-7</c:v>
                </c:pt>
                <c:pt idx="29">
                  <c:v>-1.4467360418052274E-7</c:v>
                </c:pt>
                <c:pt idx="30">
                  <c:v>-9.518617907345486E-8</c:v>
                </c:pt>
                <c:pt idx="31">
                  <c:v>-2.8251341693285008E-8</c:v>
                </c:pt>
                <c:pt idx="32">
                  <c:v>5.8716706976881941E-8</c:v>
                </c:pt>
                <c:pt idx="33">
                  <c:v>1.6832818375285538E-7</c:v>
                </c:pt>
                <c:pt idx="34">
                  <c:v>3.0313205570601221E-7</c:v>
                </c:pt>
                <c:pt idx="35">
                  <c:v>4.6550818882209919E-7</c:v>
                </c:pt>
                <c:pt idx="36">
                  <c:v>6.5753483212760667E-7</c:v>
                </c:pt>
                <c:pt idx="37">
                  <c:v>8.8082912632155317E-7</c:v>
                </c:pt>
                <c:pt idx="38">
                  <c:v>1.1363586259847776E-6</c:v>
                </c:pt>
                <c:pt idx="39">
                  <c:v>1.4242222811264867E-6</c:v>
                </c:pt>
                <c:pt idx="40">
                  <c:v>1.7433999655040643E-6</c:v>
                </c:pt>
                <c:pt idx="41">
                  <c:v>2.0914704956471832E-6</c:v>
                </c:pt>
                <c:pt idx="42">
                  <c:v>2.4642991865197607E-6</c:v>
                </c:pt>
                <c:pt idx="43">
                  <c:v>2.8556973679661608E-6</c:v>
                </c:pt>
                <c:pt idx="44">
                  <c:v>3.257057970145809E-6</c:v>
                </c:pt>
                <c:pt idx="45">
                  <c:v>3.6569733032690178E-6</c:v>
                </c:pt>
                <c:pt idx="46">
                  <c:v>4.040843530233934E-6</c:v>
                </c:pt>
                <c:pt idx="47">
                  <c:v>4.390487077293453E-6</c:v>
                </c:pt>
                <c:pt idx="48">
                  <c:v>4.6837673563260879E-6</c:v>
                </c:pt>
                <c:pt idx="49">
                  <c:v>4.8942536802352265E-6</c:v>
                </c:pt>
                <c:pt idx="50">
                  <c:v>4.9909381238961772E-6</c:v>
                </c:pt>
                <c:pt idx="51">
                  <c:v>4.9380342827633432E-6</c:v>
                </c:pt>
                <c:pt idx="52">
                  <c:v>4.6948883542205153E-6</c:v>
                </c:pt>
                <c:pt idx="53">
                  <c:v>4.2160376320029647E-6</c:v>
                </c:pt>
                <c:pt idx="54">
                  <c:v>3.4514562506859851E-6</c:v>
                </c:pt>
                <c:pt idx="55">
                  <c:v>2.347032700061366E-6</c:v>
                </c:pt>
                <c:pt idx="56">
                  <c:v>8.4532806391074118E-7</c:v>
                </c:pt>
                <c:pt idx="57">
                  <c:v>-1.113332103655777E-6</c:v>
                </c:pt>
                <c:pt idx="58">
                  <c:v>-3.589376144294406E-6</c:v>
                </c:pt>
                <c:pt idx="59">
                  <c:v>-6.6420566564859299E-6</c:v>
                </c:pt>
                <c:pt idx="60">
                  <c:v>-1.0327013938345044E-5</c:v>
                </c:pt>
                <c:pt idx="61">
                  <c:v>-1.4693274834174566E-5</c:v>
                </c:pt>
                <c:pt idx="62">
                  <c:v>-1.9779632939561119E-5</c:v>
                </c:pt>
                <c:pt idx="63">
                  <c:v>-2.5610362702998305E-5</c:v>
                </c:pt>
                <c:pt idx="64">
                  <c:v>-3.219023010088934E-5</c:v>
                </c:pt>
                <c:pt idx="65">
                  <c:v>-3.9498776908531513E-5</c:v>
                </c:pt>
                <c:pt idx="66">
                  <c:v>-4.7483874829446439E-5</c:v>
                </c:pt>
                <c:pt idx="67">
                  <c:v>-5.605457058802533E-5</c:v>
                </c:pt>
                <c:pt idx="68">
                  <c:v>-6.507327424749054E-5</c:v>
                </c:pt>
                <c:pt idx="69">
                  <c:v>-7.4347381176504773E-5</c:v>
                </c:pt>
                <c:pt idx="70">
                  <c:v>-8.3620463890887064E-5</c:v>
                </c:pt>
                <c:pt idx="71">
                  <c:v>-9.2563223989439899E-5</c:v>
                </c:pt>
                <c:pt idx="72">
                  <c:v>-1.0076445699761743E-4</c:v>
                </c:pt>
                <c:pt idx="73">
                  <c:v>-1.0772235435460403E-4</c:v>
                </c:pt>
                <c:pt idx="74">
                  <c:v>-1.1283654700396716E-4</c:v>
                </c:pt>
                <c:pt idx="75">
                  <c:v>-1.1540138373190537E-4</c:v>
                </c:pt>
                <c:pt idx="76">
                  <c:v>-1.1460103379879602E-4</c:v>
                </c:pt>
                <c:pt idx="77">
                  <c:v>-1.0950710630334691E-4</c:v>
                </c:pt>
                <c:pt idx="78">
                  <c:v>-9.907958629923707E-5</c:v>
                </c:pt>
                <c:pt idx="79">
                  <c:v>-8.2171997467411046E-5</c:v>
                </c:pt>
                <c:pt idx="80">
                  <c:v>-5.75418098643077E-5</c:v>
                </c:pt>
                <c:pt idx="81">
                  <c:v>-2.3867214756872489E-5</c:v>
                </c:pt>
                <c:pt idx="82">
                  <c:v>2.0228518338581939E-5</c:v>
                </c:pt>
                <c:pt idx="83">
                  <c:v>7.6143810830635956E-5</c:v>
                </c:pt>
                <c:pt idx="84">
                  <c:v>1.452553264755372E-4</c:v>
                </c:pt>
                <c:pt idx="85">
                  <c:v>2.2886294149279565E-4</c:v>
                </c:pt>
                <c:pt idx="86">
                  <c:v>3.2812179303540705E-4</c:v>
                </c:pt>
                <c:pt idx="87">
                  <c:v>4.4396014305015156E-4</c:v>
                </c:pt>
                <c:pt idx="88">
                  <c:v>5.7698193874558144E-4</c:v>
                </c:pt>
                <c:pt idx="89">
                  <c:v>7.2735317575542272E-4</c:v>
                </c:pt>
                <c:pt idx="90">
                  <c:v>8.9467149060596534E-4</c:v>
                </c:pt>
                <c:pt idx="91">
                  <c:v>1.077818841090924E-3</c:v>
                </c:pt>
                <c:pt idx="92">
                  <c:v>1.2747976929932791E-3</c:v>
                </c:pt>
                <c:pt idx="93">
                  <c:v>1.4825518357556573E-3</c:v>
                </c:pt>
                <c:pt idx="94">
                  <c:v>1.696773814239935E-3</c:v>
                </c:pt>
                <c:pt idx="95">
                  <c:v>1.9117020035576051E-3</c:v>
                </c:pt>
                <c:pt idx="96">
                  <c:v>2.1199115820432122E-3</c:v>
                </c:pt>
                <c:pt idx="97">
                  <c:v>2.3121050837346534E-3</c:v>
                </c:pt>
                <c:pt idx="98">
                  <c:v>2.4769098419639549E-3</c:v>
                </c:pt>
                <c:pt idx="99">
                  <c:v>2.6006914699960334E-3</c:v>
                </c:pt>
                <c:pt idx="100">
                  <c:v>2.6673945560272481E-3</c:v>
                </c:pt>
                <c:pt idx="101">
                  <c:v>2.6584239622195363E-3</c:v>
                </c:pt>
                <c:pt idx="102">
                  <c:v>2.552582483764324E-3</c:v>
                </c:pt>
                <c:pt idx="103">
                  <c:v>2.3260831040590631E-3</c:v>
                </c:pt>
                <c:pt idx="104">
                  <c:v>1.9526566202917467E-3</c:v>
                </c:pt>
                <c:pt idx="105">
                  <c:v>1.4037779365359139E-3</c:v>
                </c:pt>
                <c:pt idx="106">
                  <c:v>6.4903673497172841E-4</c:v>
                </c:pt>
                <c:pt idx="107">
                  <c:v>-3.4331957663834945E-4</c:v>
                </c:pt>
                <c:pt idx="108">
                  <c:v>-1.6056409234452731E-3</c:v>
                </c:pt>
                <c:pt idx="109">
                  <c:v>-3.1698966275829315E-3</c:v>
                </c:pt>
                <c:pt idx="110">
                  <c:v>-5.0664329300029861E-3</c:v>
                </c:pt>
                <c:pt idx="111">
                  <c:v>-7.3224348385266414E-3</c:v>
                </c:pt>
                <c:pt idx="112">
                  <c:v>-9.9600628097180413E-3</c:v>
                </c:pt>
                <c:pt idx="113">
                  <c:v>-1.2994237923762676E-2</c:v>
                </c:pt>
                <c:pt idx="114">
                  <c:v>-1.6430054193735933E-2</c:v>
                </c:pt>
                <c:pt idx="115">
                  <c:v>-2.0259803807182543E-2</c:v>
                </c:pt>
                <c:pt idx="116">
                  <c:v>-2.4459610793091897E-2</c:v>
                </c:pt>
                <c:pt idx="117">
                  <c:v>-2.8985681218943179E-2</c:v>
                </c:pt>
                <c:pt idx="118">
                  <c:v>-3.3770193932248331E-2</c:v>
                </c:pt>
                <c:pt idx="119">
                  <c:v>-3.8716875442196652E-2</c:v>
                </c:pt>
                <c:pt idx="120">
                  <c:v>-4.3696326138719384E-2</c:v>
                </c:pt>
                <c:pt idx="125">
                  <c:v>-4.8541192974281624E-2</c:v>
                </c:pt>
                <c:pt idx="130">
                  <c:v>-5.3041316227132769E-2</c:v>
                </c:pt>
                <c:pt idx="131">
                  <c:v>-5.69390151687858E-2</c:v>
                </c:pt>
                <c:pt idx="132">
                  <c:v>-5.9924719392478724E-2</c:v>
                </c:pt>
                <c:pt idx="133">
                  <c:v>-6.1633199080298698E-2</c:v>
                </c:pt>
                <c:pt idx="134">
                  <c:v>-6.1640698248127977E-2</c:v>
                </c:pt>
                <c:pt idx="135">
                  <c:v>-5.9463329414258685E-2</c:v>
                </c:pt>
                <c:pt idx="136">
                  <c:v>-5.4557145295489141E-2</c:v>
                </c:pt>
                <c:pt idx="137">
                  <c:v>-4.6320361798041526E-2</c:v>
                </c:pt>
                <c:pt idx="138">
                  <c:v>-3.4098265086422476E-2</c:v>
                </c:pt>
                <c:pt idx="139">
                  <c:v>-1.719139176324349E-2</c:v>
                </c:pt>
                <c:pt idx="140">
                  <c:v>5.132377462934744E-3</c:v>
                </c:pt>
                <c:pt idx="141">
                  <c:v>3.3621127022987272E-2</c:v>
                </c:pt>
                <c:pt idx="142">
                  <c:v>6.9016903790601936E-2</c:v>
                </c:pt>
                <c:pt idx="143">
                  <c:v>0.11202767280802835</c:v>
                </c:pt>
                <c:pt idx="144">
                  <c:v>0.16329250870318759</c:v>
                </c:pt>
                <c:pt idx="145">
                  <c:v>0.22333933457719998</c:v>
                </c:pt>
                <c:pt idx="146">
                  <c:v>0.29253458888128803</c:v>
                </c:pt>
                <c:pt idx="147">
                  <c:v>0.37102431106505085</c:v>
                </c:pt>
                <c:pt idx="148">
                  <c:v>0.45866629645799661</c:v>
                </c:pt>
                <c:pt idx="149">
                  <c:v>0.55495318832771934</c:v>
                </c:pt>
                <c:pt idx="150">
                  <c:v>0.65892665905911196</c:v>
                </c:pt>
                <c:pt idx="151">
                  <c:v>0.76908319175599216</c:v>
                </c:pt>
                <c:pt idx="152">
                  <c:v>0.88327241695471159</c:v>
                </c:pt>
                <c:pt idx="153">
                  <c:v>0.99858949471910186</c:v>
                </c:pt>
                <c:pt idx="154">
                  <c:v>1.1112636673670033</c:v>
                </c:pt>
                <c:pt idx="155">
                  <c:v>1.2165458481933455</c:v>
                </c:pt>
                <c:pt idx="156">
                  <c:v>1.3085989604356363</c:v>
                </c:pt>
                <c:pt idx="157">
                  <c:v>1.380395699181072</c:v>
                </c:pt>
                <c:pt idx="158">
                  <c:v>1.4236294540879795</c:v>
                </c:pt>
                <c:pt idx="159">
                  <c:v>1.4291318691676265</c:v>
                </c:pt>
                <c:pt idx="160">
                  <c:v>1.3975365945041931</c:v>
                </c:pt>
                <c:pt idx="161">
                  <c:v>1.3392737895886391</c:v>
                </c:pt>
                <c:pt idx="162">
                  <c:v>1.2638947580964899</c:v>
                </c:pt>
                <c:pt idx="163">
                  <c:v>1.1796409195828108</c:v>
                </c:pt>
                <c:pt idx="164">
                  <c:v>1.0935163454389563</c:v>
                </c:pt>
                <c:pt idx="165">
                  <c:v>1.0113691955609243</c:v>
                </c:pt>
                <c:pt idx="166">
                  <c:v>0.93797517743273451</c:v>
                </c:pt>
                <c:pt idx="167">
                  <c:v>0.877117281956729</c:v>
                </c:pt>
                <c:pt idx="168">
                  <c:v>0.83165710212789856</c:v>
                </c:pt>
                <c:pt idx="169">
                  <c:v>0.80359401502883054</c:v>
                </c:pt>
                <c:pt idx="170">
                  <c:v>0.79410941270639779</c:v>
                </c:pt>
                <c:pt idx="171">
                  <c:v>0.80359401502881544</c:v>
                </c:pt>
                <c:pt idx="172">
                  <c:v>0.83165710212786959</c:v>
                </c:pt>
                <c:pt idx="173">
                  <c:v>0.87711728195668803</c:v>
                </c:pt>
                <c:pt idx="174">
                  <c:v>0.93797517743268399</c:v>
                </c:pt>
                <c:pt idx="175">
                  <c:v>1.0113691955608668</c:v>
                </c:pt>
                <c:pt idx="176">
                  <c:v>1.0935163454388959</c:v>
                </c:pt>
                <c:pt idx="177">
                  <c:v>1.1796409195827511</c:v>
                </c:pt>
                <c:pt idx="178">
                  <c:v>1.2638947580964353</c:v>
                </c:pt>
                <c:pt idx="179">
                  <c:v>1.3392737895885944</c:v>
                </c:pt>
                <c:pt idx="180">
                  <c:v>1.3975365945041633</c:v>
                </c:pt>
                <c:pt idx="181">
                  <c:v>1.4291318691676169</c:v>
                </c:pt>
                <c:pt idx="182">
                  <c:v>1.4236294540879948</c:v>
                </c:pt>
                <c:pt idx="183">
                  <c:v>1.3803956991811064</c:v>
                </c:pt>
                <c:pt idx="184">
                  <c:v>1.3085989604356838</c:v>
                </c:pt>
                <c:pt idx="185">
                  <c:v>1.2165458481934008</c:v>
                </c:pt>
                <c:pt idx="186">
                  <c:v>1.1112636673670622</c:v>
                </c:pt>
                <c:pt idx="187">
                  <c:v>0.9985894947191607</c:v>
                </c:pt>
                <c:pt idx="188">
                  <c:v>0.8832724169547691</c:v>
                </c:pt>
                <c:pt idx="189">
                  <c:v>0.769083191756046</c:v>
                </c:pt>
                <c:pt idx="190">
                  <c:v>0.6589266590591617</c:v>
                </c:pt>
                <c:pt idx="191">
                  <c:v>0.55495318832776375</c:v>
                </c:pt>
                <c:pt idx="192">
                  <c:v>0.45866629645803586</c:v>
                </c:pt>
                <c:pt idx="193">
                  <c:v>0.37102431106508493</c:v>
                </c:pt>
                <c:pt idx="194">
                  <c:v>0.29253458888131684</c:v>
                </c:pt>
                <c:pt idx="195">
                  <c:v>0.22333933457722407</c:v>
                </c:pt>
                <c:pt idx="196">
                  <c:v>0.16329250870320738</c:v>
                </c:pt>
                <c:pt idx="197">
                  <c:v>0.1120276728080442</c:v>
                </c:pt>
                <c:pt idx="198">
                  <c:v>6.9016903790614426E-2</c:v>
                </c:pt>
                <c:pt idx="199">
                  <c:v>3.3621127022996876E-2</c:v>
                </c:pt>
                <c:pt idx="200">
                  <c:v>5.1323774629419248E-3</c:v>
                </c:pt>
                <c:pt idx="201">
                  <c:v>-1.7191391763238282E-2</c:v>
                </c:pt>
                <c:pt idx="202">
                  <c:v>-3.4098265086418812E-2</c:v>
                </c:pt>
                <c:pt idx="203">
                  <c:v>-4.6320361798039188E-2</c:v>
                </c:pt>
                <c:pt idx="204">
                  <c:v>-5.4557145295487774E-2</c:v>
                </c:pt>
                <c:pt idx="205">
                  <c:v>-5.9463329414257991E-2</c:v>
                </c:pt>
                <c:pt idx="206">
                  <c:v>-6.164069824812779E-2</c:v>
                </c:pt>
                <c:pt idx="207">
                  <c:v>-6.1633199080298851E-2</c:v>
                </c:pt>
                <c:pt idx="208">
                  <c:v>-5.9924719392479064E-2</c:v>
                </c:pt>
                <c:pt idx="209">
                  <c:v>-5.6939015168786244E-2</c:v>
                </c:pt>
                <c:pt idx="210">
                  <c:v>-5.3041316227133178E-2</c:v>
                </c:pt>
                <c:pt idx="211">
                  <c:v>-4.8541192974282041E-2</c:v>
                </c:pt>
                <c:pt idx="212">
                  <c:v>-4.3696326138719724E-2</c:v>
                </c:pt>
                <c:pt idx="213">
                  <c:v>-3.8716875442196916E-2</c:v>
                </c:pt>
                <c:pt idx="214">
                  <c:v>-3.3770193932248505E-2</c:v>
                </c:pt>
                <c:pt idx="215">
                  <c:v>-2.8985681218943252E-2</c:v>
                </c:pt>
                <c:pt idx="216">
                  <c:v>-2.4459610793091897E-2</c:v>
                </c:pt>
                <c:pt idx="217">
                  <c:v>-2.025980380718246E-2</c:v>
                </c:pt>
                <c:pt idx="218">
                  <c:v>-1.6430054193735812E-2</c:v>
                </c:pt>
                <c:pt idx="219">
                  <c:v>-1.2994237923762515E-2</c:v>
                </c:pt>
                <c:pt idx="220">
                  <c:v>-9.9600628097178314E-3</c:v>
                </c:pt>
                <c:pt idx="221">
                  <c:v>-7.3224348385264263E-3</c:v>
                </c:pt>
                <c:pt idx="222">
                  <c:v>-5.0664329300027658E-3</c:v>
                </c:pt>
                <c:pt idx="223">
                  <c:v>-3.1698966275827117E-3</c:v>
                </c:pt>
                <c:pt idx="224">
                  <c:v>-1.6056409234450624E-3</c:v>
                </c:pt>
                <c:pt idx="225">
                  <c:v>-3.4331957663816514E-4</c:v>
                </c:pt>
                <c:pt idx="226">
                  <c:v>6.4903673497187456E-4</c:v>
                </c:pt>
                <c:pt idx="227">
                  <c:v>1.4037779365360481E-3</c:v>
                </c:pt>
                <c:pt idx="228">
                  <c:v>1.9526566202918438E-3</c:v>
                </c:pt>
                <c:pt idx="229">
                  <c:v>2.3260831040591342E-3</c:v>
                </c:pt>
                <c:pt idx="230">
                  <c:v>2.5525824837643609E-3</c:v>
                </c:pt>
                <c:pt idx="231">
                  <c:v>2.6584239622195506E-3</c:v>
                </c:pt>
                <c:pt idx="232">
                  <c:v>2.6673945560272408E-3</c:v>
                </c:pt>
                <c:pt idx="233">
                  <c:v>2.6006914699960018E-3</c:v>
                </c:pt>
                <c:pt idx="234">
                  <c:v>2.4769098419639081E-3</c:v>
                </c:pt>
                <c:pt idx="235">
                  <c:v>2.3121050837345931E-3</c:v>
                </c:pt>
                <c:pt idx="236">
                  <c:v>2.1199115820431406E-3</c:v>
                </c:pt>
                <c:pt idx="237">
                  <c:v>1.9117020035575266E-3</c:v>
                </c:pt>
                <c:pt idx="238">
                  <c:v>1.6967738142398528E-3</c:v>
                </c:pt>
                <c:pt idx="239">
                  <c:v>1.4825518357555717E-3</c:v>
                </c:pt>
                <c:pt idx="240">
                  <c:v>1.2747976929931941E-3</c:v>
                </c:pt>
                <c:pt idx="241">
                  <c:v>1.0778188410908397E-3</c:v>
                </c:pt>
                <c:pt idx="242">
                  <c:v>8.9467149060588446E-4</c:v>
                </c:pt>
                <c:pt idx="243">
                  <c:v>7.2735317575534683E-4</c:v>
                </c:pt>
                <c:pt idx="244">
                  <c:v>5.7698193874551281E-4</c:v>
                </c:pt>
                <c:pt idx="245">
                  <c:v>4.4396014305008759E-4</c:v>
                </c:pt>
                <c:pt idx="246">
                  <c:v>3.2812179303535062E-4</c:v>
                </c:pt>
                <c:pt idx="247">
                  <c:v>2.2886294149274556E-4</c:v>
                </c:pt>
                <c:pt idx="248">
                  <c:v>1.4525532647549397E-4</c:v>
                </c:pt>
                <c:pt idx="249">
                  <c:v>7.6143810830599731E-5</c:v>
                </c:pt>
                <c:pt idx="250">
                  <c:v>2.0228518338551619E-5</c:v>
                </c:pt>
                <c:pt idx="251">
                  <c:v>-2.3867214756896003E-5</c:v>
                </c:pt>
                <c:pt idx="252">
                  <c:v>-5.7541809864326158E-5</c:v>
                </c:pt>
                <c:pt idx="253">
                  <c:v>-8.2171997467424463E-5</c:v>
                </c:pt>
                <c:pt idx="254">
                  <c:v>-9.9079586299245892E-5</c:v>
                </c:pt>
                <c:pt idx="255">
                  <c:v>-1.095071063033522E-4</c:v>
                </c:pt>
                <c:pt idx="256">
                  <c:v>-1.1460103379879797E-4</c:v>
                </c:pt>
                <c:pt idx="257">
                  <c:v>-1.1540138373190441E-4</c:v>
                </c:pt>
                <c:pt idx="258">
                  <c:v>-1.1283654700396415E-4</c:v>
                </c:pt>
                <c:pt idx="259">
                  <c:v>-1.0772235435459932E-4</c:v>
                </c:pt>
                <c:pt idx="260">
                  <c:v>-1.0076445699761155E-4</c:v>
                </c:pt>
                <c:pt idx="261">
                  <c:v>-9.2563223989432878E-5</c:v>
                </c:pt>
                <c:pt idx="262">
                  <c:v>-8.3620463890879624E-5</c:v>
                </c:pt>
                <c:pt idx="263">
                  <c:v>-7.4347381176497103E-5</c:v>
                </c:pt>
                <c:pt idx="264">
                  <c:v>-6.5073274247482842E-5</c:v>
                </c:pt>
                <c:pt idx="265">
                  <c:v>-5.6054570588017775E-5</c:v>
                </c:pt>
                <c:pt idx="266">
                  <c:v>-4.7483874829439134E-5</c:v>
                </c:pt>
                <c:pt idx="267">
                  <c:v>-3.9498776908524635E-5</c:v>
                </c:pt>
                <c:pt idx="268">
                  <c:v>-3.2190230100882984E-5</c:v>
                </c:pt>
                <c:pt idx="269">
                  <c:v>-2.5610362702992495E-5</c:v>
                </c:pt>
                <c:pt idx="270">
                  <c:v>-1.9779632939555976E-5</c:v>
                </c:pt>
                <c:pt idx="271">
                  <c:v>-1.4693274834170009E-5</c:v>
                </c:pt>
                <c:pt idx="272">
                  <c:v>-1.0327013938341007E-5</c:v>
                </c:pt>
                <c:pt idx="273">
                  <c:v>-6.6420566564825028E-6</c:v>
                </c:pt>
                <c:pt idx="274">
                  <c:v>-3.5893761442915574E-6</c:v>
                </c:pt>
                <c:pt idx="275">
                  <c:v>-1.1133321036534883E-6</c:v>
                </c:pt>
                <c:pt idx="276">
                  <c:v>8.4532806391254388E-7</c:v>
                </c:pt>
                <c:pt idx="277">
                  <c:v>2.3470327000627852E-6</c:v>
                </c:pt>
                <c:pt idx="278">
                  <c:v>3.4514562506870117E-6</c:v>
                </c:pt>
                <c:pt idx="279">
                  <c:v>4.2160376320036356E-6</c:v>
                </c:pt>
                <c:pt idx="280">
                  <c:v>4.6948883542209151E-6</c:v>
                </c:pt>
                <c:pt idx="281">
                  <c:v>4.9380342827634965E-6</c:v>
                </c:pt>
                <c:pt idx="282">
                  <c:v>4.9909381238961433E-6</c:v>
                </c:pt>
                <c:pt idx="283">
                  <c:v>4.8942536802350521E-6</c:v>
                </c:pt>
                <c:pt idx="284">
                  <c:v>4.683767356325772E-6</c:v>
                </c:pt>
                <c:pt idx="285">
                  <c:v>4.3904870772930549E-6</c:v>
                </c:pt>
                <c:pt idx="286">
                  <c:v>4.0408435302334766E-6</c:v>
                </c:pt>
                <c:pt idx="287">
                  <c:v>3.6569733032685206E-6</c:v>
                </c:pt>
                <c:pt idx="288">
                  <c:v>3.2570579701452949E-6</c:v>
                </c:pt>
                <c:pt idx="289">
                  <c:v>2.8556973679656467E-6</c:v>
                </c:pt>
                <c:pt idx="290">
                  <c:v>2.4642991865192546E-6</c:v>
                </c:pt>
                <c:pt idx="291">
                  <c:v>2.091470495646705E-6</c:v>
                </c:pt>
                <c:pt idx="292">
                  <c:v>1.7433999655036152E-6</c:v>
                </c:pt>
                <c:pt idx="293">
                  <c:v>1.4242222811260807E-6</c:v>
                </c:pt>
                <c:pt idx="294">
                  <c:v>1.1363586259844075E-6</c:v>
                </c:pt>
                <c:pt idx="295">
                  <c:v>8.8082912632122389E-7</c:v>
                </c:pt>
                <c:pt idx="296">
                  <c:v>6.5753483212731794E-7</c:v>
                </c:pt>
                <c:pt idx="297">
                  <c:v>4.6550818882184434E-7</c:v>
                </c:pt>
                <c:pt idx="298">
                  <c:v>3.0313205570580193E-7</c:v>
                </c:pt>
                <c:pt idx="299">
                  <c:v>1.6832818375268105E-7</c:v>
                </c:pt>
                <c:pt idx="300">
                  <c:v>5.8716706976738852E-8</c:v>
                </c:pt>
                <c:pt idx="301">
                  <c:v>-2.8251341693395675E-8</c:v>
                </c:pt>
                <c:pt idx="302">
                  <c:v>-9.5186179073540211E-8</c:v>
                </c:pt>
                <c:pt idx="303">
                  <c:v>-1.446736041805851E-7</c:v>
                </c:pt>
                <c:pt idx="304">
                  <c:v>-1.7920897009488484E-7</c:v>
                </c:pt>
                <c:pt idx="305">
                  <c:v>-2.0114827156112042E-7</c:v>
                </c:pt>
                <c:pt idx="306">
                  <c:v>-2.1267391051429001E-7</c:v>
                </c:pt>
                <c:pt idx="307">
                  <c:v>-2.1577283591092233E-7</c:v>
                </c:pt>
                <c:pt idx="308">
                  <c:v>-2.1222492236996977E-7</c:v>
                </c:pt>
                <c:pt idx="309">
                  <c:v>-2.0359964202718549E-7</c:v>
                </c:pt>
                <c:pt idx="310">
                  <c:v>-1.912592856145745E-7</c:v>
                </c:pt>
                <c:pt idx="311">
                  <c:v>-1.7636719393117539E-7</c:v>
                </c:pt>
                <c:pt idx="312">
                  <c:v>-1.5989966312045191E-7</c:v>
                </c:pt>
                <c:pt idx="313">
                  <c:v>-1.4266038156883452E-7</c:v>
                </c:pt>
                <c:pt idx="314">
                  <c:v>-1.2529643915696274E-7</c:v>
                </c:pt>
                <c:pt idx="315">
                  <c:v>-1.083151185186645E-7</c:v>
                </c:pt>
                <c:pt idx="316">
                  <c:v>-9.2100831323908252E-8</c:v>
                </c:pt>
                <c:pt idx="317">
                  <c:v>-7.6931699609424387E-8</c:v>
                </c:pt>
                <c:pt idx="318">
                  <c:v>-6.2995402669814151E-8</c:v>
                </c:pt>
                <c:pt idx="319">
                  <c:v>-5.0404014321006393E-8</c:v>
                </c:pt>
                <c:pt idx="320">
                  <c:v>-3.920764415969921E-8</c:v>
                </c:pt>
                <c:pt idx="321">
                  <c:v>-2.9406770741997086E-8</c:v>
                </c:pt>
                <c:pt idx="322">
                  <c:v>-2.0963215551951315E-8</c:v>
                </c:pt>
                <c:pt idx="323">
                  <c:v>-1.3809755498275731E-8</c:v>
                </c:pt>
                <c:pt idx="324">
                  <c:v>-7.8584097893860633E-9</c:v>
                </c:pt>
                <c:pt idx="325">
                  <c:v>-3.0074657213037083E-9</c:v>
                </c:pt>
                <c:pt idx="326">
                  <c:v>8.5267153550683013E-10</c:v>
                </c:pt>
                <c:pt idx="327">
                  <c:v>3.8347064129493156E-9</c:v>
                </c:pt>
                <c:pt idx="328">
                  <c:v>6.0506510467469422E-9</c:v>
                </c:pt>
                <c:pt idx="329">
                  <c:v>7.6088841571110757E-9</c:v>
                </c:pt>
                <c:pt idx="330">
                  <c:v>8.6119614011383897E-9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52-453E-9DEA-52531B45C298}"/>
            </c:ext>
          </c:extLst>
        </c:ser>
        <c:ser>
          <c:idx val="6"/>
          <c:order val="1"/>
          <c:tx>
            <c:strRef>
              <c:f>Schotteroberbau!$A$49</c:f>
              <c:strCache>
                <c:ptCount val="1"/>
                <c:pt idx="0">
                  <c:v>Achse 1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2-2ACF-41F5-9815-F9B8F83E87A4}"/>
              </c:ext>
            </c:extLst>
          </c:dPt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02-BE52-453E-9DEA-52531B45C298}"/>
              </c:ext>
            </c:extLst>
          </c:dPt>
          <c:xVal>
            <c:numRef>
              <c:f>(Schotteroberbau!$B$49,Schotteroberbau!$B$49)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(Schotteroberbau!$C$49,Schotteroberbau!$E$49)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E52-453E-9DEA-52531B45C298}"/>
            </c:ext>
          </c:extLst>
        </c:ser>
        <c:ser>
          <c:idx val="7"/>
          <c:order val="2"/>
          <c:tx>
            <c:strRef>
              <c:f>Schotteroberbau!$A$50</c:f>
              <c:strCache>
                <c:ptCount val="1"/>
                <c:pt idx="0">
                  <c:v>Achse 2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6-2ACF-41F5-9815-F9B8F83E87A4}"/>
              </c:ext>
            </c:extLst>
          </c:dPt>
          <c:xVal>
            <c:numRef>
              <c:f>(Schotteroberbau!$B$50,Schotteroberbau!$B$50)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(Schotteroberbau!$C$50,Schotteroberbau!$E$50)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E52-453E-9DEA-52531B45C298}"/>
            </c:ext>
          </c:extLst>
        </c:ser>
        <c:ser>
          <c:idx val="8"/>
          <c:order val="3"/>
          <c:tx>
            <c:strRef>
              <c:f>Schotteroberbau!$A$51</c:f>
              <c:strCache>
                <c:ptCount val="1"/>
                <c:pt idx="0">
                  <c:v>Achse 3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8-2ACF-41F5-9815-F9B8F83E87A4}"/>
              </c:ext>
            </c:extLst>
          </c:dPt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06-BE52-453E-9DEA-52531B45C298}"/>
              </c:ext>
            </c:extLst>
          </c:dPt>
          <c:xVal>
            <c:numRef>
              <c:f>(Schotteroberbau!$B$51,Schotteroberbau!$B$51)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(Schotteroberbau!$C$51,Schotteroberbau!$E$51)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E52-453E-9DEA-52531B45C298}"/>
            </c:ext>
          </c:extLst>
        </c:ser>
        <c:ser>
          <c:idx val="9"/>
          <c:order val="4"/>
          <c:tx>
            <c:strRef>
              <c:f>Schotteroberbau!$A$52</c:f>
              <c:strCache>
                <c:ptCount val="1"/>
                <c:pt idx="0">
                  <c:v>Achse 4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C-2ACF-41F5-9815-F9B8F83E87A4}"/>
              </c:ext>
            </c:extLst>
          </c:dPt>
          <c:xVal>
            <c:numRef>
              <c:f>(Schotteroberbau!$B$52,Schotteroberbau!$B$52)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(Schotteroberbau!$C$52,Schotteroberbau!$E$52)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E52-453E-9DEA-52531B45C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97952"/>
        <c:axId val="142008320"/>
      </c:scatterChart>
      <c:valAx>
        <c:axId val="141997952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3348906109340507"/>
              <c:y val="0.9490871620132399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2008320"/>
        <c:crosses val="autoZero"/>
        <c:crossBetween val="midCat"/>
        <c:majorUnit val="1"/>
        <c:minorUnit val="0.5"/>
      </c:valAx>
      <c:valAx>
        <c:axId val="142008320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Einsenkung [mm]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1997952"/>
        <c:crosses val="autoZero"/>
        <c:crossBetween val="midCat"/>
        <c:majorUnit val="0.1"/>
        <c:minorUnit val="2.0000000000000004E-2"/>
      </c:valAx>
    </c:plotArea>
    <c:plotVisOnly val="0"/>
    <c:dispBlanksAs val="span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Normalspannungen</a:t>
            </a:r>
          </a:p>
        </c:rich>
      </c:tx>
      <c:layout>
        <c:manualLayout>
          <c:xMode val="edge"/>
          <c:yMode val="edge"/>
          <c:x val="0.4047065072002356"/>
          <c:y val="6.19256141147950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460400898595771"/>
          <c:h val="0.77309618306906125"/>
        </c:manualLayout>
      </c:layout>
      <c:scatterChart>
        <c:scatterStyle val="smoothMarker"/>
        <c:varyColors val="0"/>
        <c:ser>
          <c:idx val="1"/>
          <c:order val="1"/>
          <c:tx>
            <c:strRef>
              <c:f>Schotteroberbau!$Q$5</c:f>
              <c:strCache>
                <c:ptCount val="1"/>
                <c:pt idx="0">
                  <c:v>Spannungen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Schotteroberbau!$M$8:$M$338</c:f>
              <c:numCache>
                <c:formatCode>General</c:formatCode>
                <c:ptCount val="3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5">
                  <c:v>11.899999999999974</c:v>
                </c:pt>
                <c:pt idx="130">
                  <c:v>11.999999999999973</c:v>
                </c:pt>
                <c:pt idx="131">
                  <c:v>12.099999999999973</c:v>
                </c:pt>
                <c:pt idx="132">
                  <c:v>12.199999999999973</c:v>
                </c:pt>
                <c:pt idx="133">
                  <c:v>12.299999999999972</c:v>
                </c:pt>
                <c:pt idx="134">
                  <c:v>12.399999999999972</c:v>
                </c:pt>
                <c:pt idx="135">
                  <c:v>12.499999999999972</c:v>
                </c:pt>
                <c:pt idx="136">
                  <c:v>12.599999999999971</c:v>
                </c:pt>
                <c:pt idx="137">
                  <c:v>12.699999999999971</c:v>
                </c:pt>
                <c:pt idx="138">
                  <c:v>12.799999999999971</c:v>
                </c:pt>
                <c:pt idx="139">
                  <c:v>12.89999999999997</c:v>
                </c:pt>
                <c:pt idx="140">
                  <c:v>12.99999999999997</c:v>
                </c:pt>
                <c:pt idx="141">
                  <c:v>13.099999999999969</c:v>
                </c:pt>
                <c:pt idx="142">
                  <c:v>13.199999999999969</c:v>
                </c:pt>
                <c:pt idx="143">
                  <c:v>13.299999999999969</c:v>
                </c:pt>
                <c:pt idx="144">
                  <c:v>13.399999999999968</c:v>
                </c:pt>
                <c:pt idx="145">
                  <c:v>13.499999999999968</c:v>
                </c:pt>
                <c:pt idx="146">
                  <c:v>13.599999999999968</c:v>
                </c:pt>
                <c:pt idx="147">
                  <c:v>13.699999999999967</c:v>
                </c:pt>
                <c:pt idx="148">
                  <c:v>13.799999999999967</c:v>
                </c:pt>
                <c:pt idx="149">
                  <c:v>13.899999999999967</c:v>
                </c:pt>
                <c:pt idx="150">
                  <c:v>13.999999999999966</c:v>
                </c:pt>
                <c:pt idx="151">
                  <c:v>14.099999999999966</c:v>
                </c:pt>
                <c:pt idx="152">
                  <c:v>14.199999999999966</c:v>
                </c:pt>
                <c:pt idx="153">
                  <c:v>14.299999999999965</c:v>
                </c:pt>
                <c:pt idx="154">
                  <c:v>14.399999999999965</c:v>
                </c:pt>
                <c:pt idx="155">
                  <c:v>14.499999999999964</c:v>
                </c:pt>
                <c:pt idx="156">
                  <c:v>14.599999999999964</c:v>
                </c:pt>
                <c:pt idx="157">
                  <c:v>14.699999999999964</c:v>
                </c:pt>
                <c:pt idx="158">
                  <c:v>14.799999999999963</c:v>
                </c:pt>
                <c:pt idx="159">
                  <c:v>14.899999999999963</c:v>
                </c:pt>
                <c:pt idx="160">
                  <c:v>14.999999999999963</c:v>
                </c:pt>
                <c:pt idx="161">
                  <c:v>15.099999999999962</c:v>
                </c:pt>
                <c:pt idx="162">
                  <c:v>15.199999999999962</c:v>
                </c:pt>
                <c:pt idx="163">
                  <c:v>15.299999999999962</c:v>
                </c:pt>
                <c:pt idx="164">
                  <c:v>15.399999999999961</c:v>
                </c:pt>
                <c:pt idx="165">
                  <c:v>15.499999999999961</c:v>
                </c:pt>
                <c:pt idx="166">
                  <c:v>15.599999999999961</c:v>
                </c:pt>
                <c:pt idx="167">
                  <c:v>15.69999999999996</c:v>
                </c:pt>
                <c:pt idx="168">
                  <c:v>15.79999999999996</c:v>
                </c:pt>
                <c:pt idx="169">
                  <c:v>15.899999999999959</c:v>
                </c:pt>
                <c:pt idx="170">
                  <c:v>15.999999999999959</c:v>
                </c:pt>
                <c:pt idx="171">
                  <c:v>16.099999999999959</c:v>
                </c:pt>
                <c:pt idx="172">
                  <c:v>16.19999999999996</c:v>
                </c:pt>
                <c:pt idx="173">
                  <c:v>16.299999999999962</c:v>
                </c:pt>
                <c:pt idx="174">
                  <c:v>16.399999999999963</c:v>
                </c:pt>
                <c:pt idx="175">
                  <c:v>16.499999999999964</c:v>
                </c:pt>
                <c:pt idx="176">
                  <c:v>16.599999999999966</c:v>
                </c:pt>
                <c:pt idx="177">
                  <c:v>16.699999999999967</c:v>
                </c:pt>
                <c:pt idx="178">
                  <c:v>16.799999999999969</c:v>
                </c:pt>
                <c:pt idx="179">
                  <c:v>16.89999999999997</c:v>
                </c:pt>
                <c:pt idx="180">
                  <c:v>16.999999999999972</c:v>
                </c:pt>
                <c:pt idx="181">
                  <c:v>17.099999999999973</c:v>
                </c:pt>
                <c:pt idx="182">
                  <c:v>17.199999999999974</c:v>
                </c:pt>
                <c:pt idx="183">
                  <c:v>17.299999999999976</c:v>
                </c:pt>
                <c:pt idx="184">
                  <c:v>17.399999999999977</c:v>
                </c:pt>
                <c:pt idx="185">
                  <c:v>17.499999999999979</c:v>
                </c:pt>
                <c:pt idx="186">
                  <c:v>17.59999999999998</c:v>
                </c:pt>
                <c:pt idx="187">
                  <c:v>17.699999999999982</c:v>
                </c:pt>
                <c:pt idx="188">
                  <c:v>17.799999999999983</c:v>
                </c:pt>
                <c:pt idx="189">
                  <c:v>17.899999999999984</c:v>
                </c:pt>
                <c:pt idx="190">
                  <c:v>17.999999999999986</c:v>
                </c:pt>
                <c:pt idx="191">
                  <c:v>18.099999999999987</c:v>
                </c:pt>
                <c:pt idx="192">
                  <c:v>18.199999999999989</c:v>
                </c:pt>
                <c:pt idx="193">
                  <c:v>18.29999999999999</c:v>
                </c:pt>
                <c:pt idx="194">
                  <c:v>18.399999999999991</c:v>
                </c:pt>
                <c:pt idx="195">
                  <c:v>18.499999999999993</c:v>
                </c:pt>
                <c:pt idx="196">
                  <c:v>18.599999999999994</c:v>
                </c:pt>
                <c:pt idx="197">
                  <c:v>18.699999999999996</c:v>
                </c:pt>
                <c:pt idx="198">
                  <c:v>18.799999999999997</c:v>
                </c:pt>
                <c:pt idx="199">
                  <c:v>18.899999999999999</c:v>
                </c:pt>
                <c:pt idx="200">
                  <c:v>19</c:v>
                </c:pt>
                <c:pt idx="201">
                  <c:v>19.100000000000001</c:v>
                </c:pt>
                <c:pt idx="202">
                  <c:v>19.200000000000003</c:v>
                </c:pt>
                <c:pt idx="203">
                  <c:v>19.300000000000004</c:v>
                </c:pt>
                <c:pt idx="204">
                  <c:v>19.400000000000006</c:v>
                </c:pt>
                <c:pt idx="205">
                  <c:v>19.500000000000007</c:v>
                </c:pt>
                <c:pt idx="206">
                  <c:v>19.600000000000009</c:v>
                </c:pt>
                <c:pt idx="207">
                  <c:v>19.70000000000001</c:v>
                </c:pt>
                <c:pt idx="208">
                  <c:v>19.800000000000011</c:v>
                </c:pt>
                <c:pt idx="209">
                  <c:v>19.900000000000013</c:v>
                </c:pt>
                <c:pt idx="210">
                  <c:v>20.000000000000014</c:v>
                </c:pt>
                <c:pt idx="211">
                  <c:v>20.100000000000016</c:v>
                </c:pt>
                <c:pt idx="212">
                  <c:v>20.200000000000017</c:v>
                </c:pt>
                <c:pt idx="213">
                  <c:v>20.300000000000018</c:v>
                </c:pt>
                <c:pt idx="214">
                  <c:v>20.40000000000002</c:v>
                </c:pt>
                <c:pt idx="215">
                  <c:v>20.500000000000021</c:v>
                </c:pt>
                <c:pt idx="216">
                  <c:v>20.600000000000023</c:v>
                </c:pt>
                <c:pt idx="217">
                  <c:v>20.700000000000024</c:v>
                </c:pt>
                <c:pt idx="218">
                  <c:v>20.800000000000026</c:v>
                </c:pt>
                <c:pt idx="219">
                  <c:v>20.900000000000027</c:v>
                </c:pt>
                <c:pt idx="220">
                  <c:v>21.000000000000028</c:v>
                </c:pt>
                <c:pt idx="221">
                  <c:v>21.10000000000003</c:v>
                </c:pt>
                <c:pt idx="222">
                  <c:v>21.200000000000031</c:v>
                </c:pt>
                <c:pt idx="223">
                  <c:v>21.300000000000033</c:v>
                </c:pt>
                <c:pt idx="224">
                  <c:v>21.400000000000034</c:v>
                </c:pt>
                <c:pt idx="225">
                  <c:v>21.500000000000036</c:v>
                </c:pt>
                <c:pt idx="226">
                  <c:v>21.600000000000037</c:v>
                </c:pt>
                <c:pt idx="227">
                  <c:v>21.700000000000038</c:v>
                </c:pt>
                <c:pt idx="228">
                  <c:v>21.80000000000004</c:v>
                </c:pt>
                <c:pt idx="229">
                  <c:v>21.900000000000041</c:v>
                </c:pt>
                <c:pt idx="230">
                  <c:v>22.000000000000043</c:v>
                </c:pt>
                <c:pt idx="231">
                  <c:v>22.100000000000044</c:v>
                </c:pt>
                <c:pt idx="232">
                  <c:v>22.200000000000045</c:v>
                </c:pt>
                <c:pt idx="233">
                  <c:v>22.300000000000047</c:v>
                </c:pt>
                <c:pt idx="234">
                  <c:v>22.400000000000048</c:v>
                </c:pt>
                <c:pt idx="235">
                  <c:v>22.50000000000005</c:v>
                </c:pt>
                <c:pt idx="236">
                  <c:v>22.600000000000051</c:v>
                </c:pt>
                <c:pt idx="237">
                  <c:v>22.700000000000053</c:v>
                </c:pt>
                <c:pt idx="238">
                  <c:v>22.800000000000054</c:v>
                </c:pt>
                <c:pt idx="239">
                  <c:v>22.900000000000055</c:v>
                </c:pt>
                <c:pt idx="240">
                  <c:v>23.000000000000057</c:v>
                </c:pt>
                <c:pt idx="241">
                  <c:v>23.100000000000058</c:v>
                </c:pt>
                <c:pt idx="242">
                  <c:v>23.20000000000006</c:v>
                </c:pt>
                <c:pt idx="243">
                  <c:v>23.300000000000061</c:v>
                </c:pt>
                <c:pt idx="244">
                  <c:v>23.400000000000063</c:v>
                </c:pt>
                <c:pt idx="245">
                  <c:v>23.500000000000064</c:v>
                </c:pt>
                <c:pt idx="246">
                  <c:v>23.600000000000065</c:v>
                </c:pt>
                <c:pt idx="247">
                  <c:v>23.700000000000067</c:v>
                </c:pt>
                <c:pt idx="248">
                  <c:v>23.800000000000068</c:v>
                </c:pt>
                <c:pt idx="249">
                  <c:v>23.90000000000007</c:v>
                </c:pt>
                <c:pt idx="250">
                  <c:v>24.000000000000071</c:v>
                </c:pt>
                <c:pt idx="251">
                  <c:v>24.100000000000072</c:v>
                </c:pt>
                <c:pt idx="252">
                  <c:v>24.200000000000074</c:v>
                </c:pt>
                <c:pt idx="253">
                  <c:v>24.300000000000075</c:v>
                </c:pt>
                <c:pt idx="254">
                  <c:v>24.400000000000077</c:v>
                </c:pt>
                <c:pt idx="255">
                  <c:v>24.500000000000078</c:v>
                </c:pt>
                <c:pt idx="256">
                  <c:v>24.60000000000008</c:v>
                </c:pt>
                <c:pt idx="257">
                  <c:v>24.700000000000081</c:v>
                </c:pt>
                <c:pt idx="258">
                  <c:v>24.800000000000082</c:v>
                </c:pt>
                <c:pt idx="259">
                  <c:v>24.900000000000084</c:v>
                </c:pt>
                <c:pt idx="260">
                  <c:v>25.000000000000085</c:v>
                </c:pt>
                <c:pt idx="261">
                  <c:v>25.100000000000087</c:v>
                </c:pt>
                <c:pt idx="262">
                  <c:v>25.200000000000088</c:v>
                </c:pt>
                <c:pt idx="263">
                  <c:v>25.30000000000009</c:v>
                </c:pt>
                <c:pt idx="264">
                  <c:v>25.400000000000091</c:v>
                </c:pt>
                <c:pt idx="265">
                  <c:v>25.500000000000092</c:v>
                </c:pt>
                <c:pt idx="266">
                  <c:v>25.600000000000094</c:v>
                </c:pt>
                <c:pt idx="267">
                  <c:v>25.700000000000095</c:v>
                </c:pt>
                <c:pt idx="268">
                  <c:v>25.800000000000097</c:v>
                </c:pt>
                <c:pt idx="269">
                  <c:v>25.900000000000098</c:v>
                </c:pt>
                <c:pt idx="270">
                  <c:v>26.000000000000099</c:v>
                </c:pt>
                <c:pt idx="271">
                  <c:v>26.100000000000101</c:v>
                </c:pt>
                <c:pt idx="272">
                  <c:v>26.200000000000102</c:v>
                </c:pt>
                <c:pt idx="273">
                  <c:v>26.300000000000104</c:v>
                </c:pt>
                <c:pt idx="274">
                  <c:v>26.400000000000105</c:v>
                </c:pt>
                <c:pt idx="275">
                  <c:v>26.500000000000107</c:v>
                </c:pt>
                <c:pt idx="276">
                  <c:v>26.600000000000108</c:v>
                </c:pt>
                <c:pt idx="277">
                  <c:v>26.700000000000109</c:v>
                </c:pt>
                <c:pt idx="278">
                  <c:v>26.800000000000111</c:v>
                </c:pt>
                <c:pt idx="279">
                  <c:v>26.900000000000112</c:v>
                </c:pt>
                <c:pt idx="280">
                  <c:v>27.000000000000114</c:v>
                </c:pt>
                <c:pt idx="281">
                  <c:v>27.100000000000115</c:v>
                </c:pt>
                <c:pt idx="282">
                  <c:v>27.200000000000117</c:v>
                </c:pt>
                <c:pt idx="283">
                  <c:v>27.300000000000118</c:v>
                </c:pt>
                <c:pt idx="284">
                  <c:v>27.400000000000119</c:v>
                </c:pt>
                <c:pt idx="285">
                  <c:v>27.500000000000121</c:v>
                </c:pt>
                <c:pt idx="286">
                  <c:v>27.600000000000122</c:v>
                </c:pt>
                <c:pt idx="287">
                  <c:v>27.700000000000124</c:v>
                </c:pt>
                <c:pt idx="288">
                  <c:v>27.800000000000125</c:v>
                </c:pt>
                <c:pt idx="289">
                  <c:v>27.900000000000126</c:v>
                </c:pt>
                <c:pt idx="290">
                  <c:v>28.000000000000128</c:v>
                </c:pt>
                <c:pt idx="291">
                  <c:v>28.100000000000129</c:v>
                </c:pt>
                <c:pt idx="292">
                  <c:v>28.200000000000131</c:v>
                </c:pt>
                <c:pt idx="293">
                  <c:v>28.300000000000132</c:v>
                </c:pt>
                <c:pt idx="294">
                  <c:v>28.400000000000134</c:v>
                </c:pt>
                <c:pt idx="295">
                  <c:v>28.500000000000135</c:v>
                </c:pt>
                <c:pt idx="296">
                  <c:v>28.600000000000136</c:v>
                </c:pt>
                <c:pt idx="297">
                  <c:v>28.700000000000138</c:v>
                </c:pt>
                <c:pt idx="298">
                  <c:v>28.800000000000139</c:v>
                </c:pt>
                <c:pt idx="299">
                  <c:v>28.900000000000141</c:v>
                </c:pt>
                <c:pt idx="300">
                  <c:v>29.000000000000142</c:v>
                </c:pt>
                <c:pt idx="301">
                  <c:v>29.100000000000144</c:v>
                </c:pt>
                <c:pt idx="302">
                  <c:v>29.200000000000145</c:v>
                </c:pt>
                <c:pt idx="303">
                  <c:v>29.300000000000146</c:v>
                </c:pt>
                <c:pt idx="304">
                  <c:v>29.400000000000148</c:v>
                </c:pt>
                <c:pt idx="305">
                  <c:v>29.500000000000149</c:v>
                </c:pt>
                <c:pt idx="306">
                  <c:v>29.600000000000151</c:v>
                </c:pt>
                <c:pt idx="307">
                  <c:v>29.700000000000152</c:v>
                </c:pt>
                <c:pt idx="308">
                  <c:v>29.800000000000153</c:v>
                </c:pt>
                <c:pt idx="309">
                  <c:v>29.900000000000155</c:v>
                </c:pt>
                <c:pt idx="310">
                  <c:v>30.000000000000156</c:v>
                </c:pt>
                <c:pt idx="311">
                  <c:v>30.100000000000158</c:v>
                </c:pt>
                <c:pt idx="312">
                  <c:v>30.200000000000159</c:v>
                </c:pt>
                <c:pt idx="313">
                  <c:v>30.300000000000161</c:v>
                </c:pt>
                <c:pt idx="314">
                  <c:v>30.400000000000162</c:v>
                </c:pt>
                <c:pt idx="315">
                  <c:v>30.500000000000163</c:v>
                </c:pt>
                <c:pt idx="316">
                  <c:v>30.600000000000165</c:v>
                </c:pt>
                <c:pt idx="317">
                  <c:v>30.700000000000166</c:v>
                </c:pt>
                <c:pt idx="318">
                  <c:v>30.800000000000168</c:v>
                </c:pt>
                <c:pt idx="319">
                  <c:v>30.900000000000169</c:v>
                </c:pt>
                <c:pt idx="320">
                  <c:v>31.000000000000171</c:v>
                </c:pt>
                <c:pt idx="321">
                  <c:v>31.100000000000172</c:v>
                </c:pt>
                <c:pt idx="322">
                  <c:v>31.200000000000173</c:v>
                </c:pt>
                <c:pt idx="323">
                  <c:v>31.300000000000175</c:v>
                </c:pt>
                <c:pt idx="324">
                  <c:v>31.400000000000176</c:v>
                </c:pt>
                <c:pt idx="325">
                  <c:v>31.500000000000178</c:v>
                </c:pt>
                <c:pt idx="326">
                  <c:v>31.600000000000179</c:v>
                </c:pt>
                <c:pt idx="327">
                  <c:v>31.70000000000018</c:v>
                </c:pt>
                <c:pt idx="328">
                  <c:v>31.800000000000182</c:v>
                </c:pt>
                <c:pt idx="329">
                  <c:v>31.900000000000183</c:v>
                </c:pt>
                <c:pt idx="330">
                  <c:v>32</c:v>
                </c:pt>
              </c:numCache>
            </c:numRef>
          </c:xVal>
          <c:yVal>
            <c:numRef>
              <c:f>Schotteroberbau!$Q$8:$Q$338</c:f>
              <c:numCache>
                <c:formatCode>0.00</c:formatCode>
                <c:ptCount val="331"/>
                <c:pt idx="0">
                  <c:v>7.2728873390063097E-7</c:v>
                </c:pt>
                <c:pt idx="1">
                  <c:v>8.7815873512407798E-7</c:v>
                </c:pt>
                <c:pt idx="2">
                  <c:v>1.0407670700868487E-6</c:v>
                </c:pt>
                <c:pt idx="3">
                  <c:v>1.2126818598348799E-6</c:v>
                </c:pt>
                <c:pt idx="4">
                  <c:v>7.2728873390063097E-7</c:v>
                </c:pt>
                <c:pt idx="5">
                  <c:v>1.3904496043147763E-6</c:v>
                </c:pt>
                <c:pt idx="6">
                  <c:v>1.5694272454049781E-6</c:v>
                </c:pt>
                <c:pt idx="7">
                  <c:v>1.7436086875351914E-6</c:v>
                </c:pt>
                <c:pt idx="8">
                  <c:v>1.9054503550955153E-6</c:v>
                </c:pt>
                <c:pt idx="9">
                  <c:v>7.2728873390063097E-7</c:v>
                </c:pt>
                <c:pt idx="10">
                  <c:v>2.0457017019654302E-6</c:v>
                </c:pt>
                <c:pt idx="11">
                  <c:v>2.1532480946351779E-6</c:v>
                </c:pt>
                <c:pt idx="12">
                  <c:v>2.2149751614458192E-6</c:v>
                </c:pt>
                <c:pt idx="13">
                  <c:v>2.215665524040642E-6</c:v>
                </c:pt>
                <c:pt idx="14">
                  <c:v>2.1379407818604859E-6</c:v>
                </c:pt>
                <c:pt idx="15">
                  <c:v>1.9622636743709979E-6</c:v>
                </c:pt>
                <c:pt idx="16">
                  <c:v>1.6670174539907528E-6</c:v>
                </c:pt>
                <c:pt idx="17">
                  <c:v>1.2286816060682024E-6</c:v>
                </c:pt>
                <c:pt idx="18">
                  <c:v>6.221250747119539E-7</c:v>
                </c:pt>
                <c:pt idx="19">
                  <c:v>-1.7895999995255224E-7</c:v>
                </c:pt>
                <c:pt idx="20">
                  <c:v>-1.2014594719185593E-6</c:v>
                </c:pt>
                <c:pt idx="21">
                  <c:v>-2.4720476191743472E-6</c:v>
                </c:pt>
                <c:pt idx="22">
                  <c:v>-4.0161805903134842E-6</c:v>
                </c:pt>
                <c:pt idx="23">
                  <c:v>-5.8568468876926484E-6</c:v>
                </c:pt>
                <c:pt idx="24">
                  <c:v>-8.0130501405818358E-6</c:v>
                </c:pt>
                <c:pt idx="25">
                  <c:v>-1.0498001884130933E-5</c:v>
                </c:pt>
                <c:pt idx="26">
                  <c:v>-1.3317006013095586E-5</c:v>
                </c:pt>
                <c:pt idx="27">
                  <c:v>-1.6465022306714336E-5</c:v>
                </c:pt>
                <c:pt idx="28">
                  <c:v>-1.9923904224174806E-5</c:v>
                </c:pt>
                <c:pt idx="29">
                  <c:v>-2.3659316362033872E-5</c:v>
                </c:pt>
                <c:pt idx="30">
                  <c:v>-2.7617349863354186E-5</c:v>
                </c:pt>
                <c:pt idx="31">
                  <c:v>-3.1720869985068809E-5</c:v>
                </c:pt>
                <c:pt idx="32">
                  <c:v>-3.5865649258626465E-5</c:v>
                </c:pt>
                <c:pt idx="33">
                  <c:v>-3.9916362478689265E-5</c:v>
                </c:pt>
                <c:pt idx="34">
                  <c:v>-4.370254633198178E-5</c:v>
                </c:pt>
                <c:pt idx="35">
                  <c:v>-4.7014656964399556E-5</c:v>
                </c:pt>
                <c:pt idx="36">
                  <c:v>-4.9600393208868541E-5</c:v>
                </c:pt>
                <c:pt idx="37">
                  <c:v>-5.1161491457576966E-5</c:v>
                </c:pt>
                <c:pt idx="38">
                  <c:v>-5.1351239993447129E-5</c:v>
                </c:pt>
                <c:pt idx="39">
                  <c:v>-4.977300552796187E-5</c:v>
                </c:pt>
                <c:pt idx="40">
                  <c:v>-4.5980112013198159E-5</c:v>
                </c:pt>
                <c:pt idx="41">
                  <c:v>-3.947746050530693E-5</c:v>
                </c:pt>
                <c:pt idx="42">
                  <c:v>-2.9725327621339787E-5</c:v>
                </c:pt>
                <c:pt idx="43">
                  <c:v>-1.6145827236811829E-5</c:v>
                </c:pt>
                <c:pt idx="44">
                  <c:v>1.8674366253309147E-6</c:v>
                </c:pt>
                <c:pt idx="45">
                  <c:v>2.4935960880015404E-5</c:v>
                </c:pt>
                <c:pt idx="46">
                  <c:v>5.3678586275126689E-5</c:v>
                </c:pt>
                <c:pt idx="47">
                  <c:v>8.8688785841114812E-5</c:v>
                </c:pt>
                <c:pt idx="48">
                  <c:v>1.3050639605261343E-4</c:v>
                </c:pt>
                <c:pt idx="49">
                  <c:v>1.7958321363140595E-4</c:v>
                </c:pt>
                <c:pt idx="50">
                  <c:v>2.3624193449364814E-4</c:v>
                </c:pt>
                <c:pt idx="51">
                  <c:v>3.0062799872344447E-4</c:v>
                </c:pt>
                <c:pt idx="52">
                  <c:v>3.7265403315100981E-4</c:v>
                </c:pt>
                <c:pt idx="53">
                  <c:v>4.5193675805898516E-4</c:v>
                </c:pt>
                <c:pt idx="54">
                  <c:v>5.3772645396185355E-4</c:v>
                </c:pt>
                <c:pt idx="55">
                  <c:v>6.2882937564957408E-4</c:v>
                </c:pt>
                <c:pt idx="56">
                  <c:v>7.2352386100214253E-4</c:v>
                </c:pt>
                <c:pt idx="57">
                  <c:v>8.1947131832058051E-4</c:v>
                </c:pt>
                <c:pt idx="58">
                  <c:v>9.1362379419072134E-4</c:v>
                </c:pt>
                <c:pt idx="59">
                  <c:v>1.0021304291341043E-3</c:v>
                </c:pt>
                <c:pt idx="60">
                  <c:v>1.0802458037580535E-3</c:v>
                </c:pt>
                <c:pt idx="61">
                  <c:v>1.1422439647712139E-3</c:v>
                </c:pt>
                <c:pt idx="62">
                  <c:v>1.1813427960997828E-3</c:v>
                </c:pt>
                <c:pt idx="63">
                  <c:v>1.1896443597134527E-3</c:v>
                </c:pt>
                <c:pt idx="64">
                  <c:v>1.1580978633521379E-3</c:v>
                </c:pt>
                <c:pt idx="65">
                  <c:v>1.0764930023136779E-3</c:v>
                </c:pt>
                <c:pt idx="66">
                  <c:v>9.3349254746315626E-4</c:v>
                </c:pt>
                <c:pt idx="67">
                  <c:v>7.1671418170168237E-4</c:v>
                </c:pt>
                <c:pt idx="68">
                  <c:v>4.1287268363481895E-4</c:v>
                </c:pt>
                <c:pt idx="69">
                  <c:v>7.9945716584550312E-6</c:v>
                </c:pt>
                <c:pt idx="70">
                  <c:v>-5.1228180518112529E-4</c:v>
                </c:pt>
                <c:pt idx="71">
                  <c:v>-1.1623070825612842E-3</c:v>
                </c:pt>
                <c:pt idx="72">
                  <c:v>-1.9559085912252759E-3</c:v>
                </c:pt>
                <c:pt idx="73">
                  <c:v>-2.9057509803000372E-3</c:v>
                </c:pt>
                <c:pt idx="74">
                  <c:v>-4.022556305271094E-3</c:v>
                </c:pt>
                <c:pt idx="75">
                  <c:v>-5.314171294848056E-3</c:v>
                </c:pt>
                <c:pt idx="76">
                  <c:v>-6.7844714399389059E-3</c:v>
                </c:pt>
                <c:pt idx="77">
                  <c:v>-8.4320943928392657E-3</c:v>
                </c:pt>
                <c:pt idx="78">
                  <c:v>-1.024899908500838E-2</c:v>
                </c:pt>
                <c:pt idx="79">
                  <c:v>-1.221885213410592E-2</c:v>
                </c:pt>
                <c:pt idx="80">
                  <c:v>-1.4315249685280047E-2</c:v>
                </c:pt>
                <c:pt idx="81">
                  <c:v>-1.6499790986235833E-2</c:v>
                </c:pt>
                <c:pt idx="82">
                  <c:v>-1.8720029890339187E-2</c:v>
                </c:pt>
                <c:pt idx="83">
                  <c:v>-2.0907342260630946E-2</c:v>
                </c:pt>
                <c:pt idx="84">
                  <c:v>-2.297476102786172E-2</c:v>
                </c:pt>
                <c:pt idx="85">
                  <c:v>-2.4814846517691582E-2</c:v>
                </c:pt>
                <c:pt idx="86">
                  <c:v>-2.6297677635137639E-2</c:v>
                </c:pt>
                <c:pt idx="87">
                  <c:v>-2.7269069540694899E-2</c:v>
                </c:pt>
                <c:pt idx="88">
                  <c:v>-2.7549145450571747E-2</c:v>
                </c:pt>
                <c:pt idx="89">
                  <c:v>-2.6931413917576148E-2</c:v>
                </c:pt>
                <c:pt idx="90">
                  <c:v>-2.5182528048402139E-2</c:v>
                </c:pt>
                <c:pt idx="91">
                  <c:v>-2.2042929087849605E-2</c:v>
                </c:pt>
                <c:pt idx="92">
                  <c:v>-1.7228602978227672E-2</c:v>
                </c:pt>
                <c:pt idx="93">
                  <c:v>-1.0434204011759164E-2</c:v>
                </c:pt>
                <c:pt idx="94">
                  <c:v>-1.3378234401786495E-3</c:v>
                </c:pt>
                <c:pt idx="95">
                  <c:v>1.0392298454922325E-2</c:v>
                </c:pt>
                <c:pt idx="96">
                  <c:v>2.508880241077965E-2</c:v>
                </c:pt>
                <c:pt idx="97">
                  <c:v>4.3073658644421711E-2</c:v>
                </c:pt>
                <c:pt idx="98">
                  <c:v>6.4643709577361985E-2</c:v>
                </c:pt>
                <c:pt idx="99">
                  <c:v>9.0052993608781287E-2</c:v>
                </c:pt>
                <c:pt idx="100">
                  <c:v>0.11949156187662896</c:v>
                </c:pt>
                <c:pt idx="101">
                  <c:v>0.15306054247305481</c:v>
                </c:pt>
                <c:pt idx="102">
                  <c:v>0.19074326991025745</c:v>
                </c:pt>
                <c:pt idx="103">
                  <c:v>0.23237238543293154</c:v>
                </c:pt>
                <c:pt idx="104">
                  <c:v>0.27759292988627626</c:v>
                </c:pt>
                <c:pt idx="105">
                  <c:v>0.32582159920414694</c:v>
                </c:pt>
                <c:pt idx="106">
                  <c:v>0.37620251708407426</c:v>
                </c:pt>
                <c:pt idx="107">
                  <c:v>0.427560103795536</c:v>
                </c:pt>
                <c:pt idx="108">
                  <c:v>0.47834988770207021</c:v>
                </c:pt>
                <c:pt idx="109">
                  <c:v>0.52660841976905215</c:v>
                </c:pt>
                <c:pt idx="110">
                  <c:v>0.56990381304241233</c:v>
                </c:pt>
                <c:pt idx="111">
                  <c:v>0.60528883963933622</c:v>
                </c:pt>
                <c:pt idx="112">
                  <c:v>0.62925897651047369</c:v>
                </c:pt>
                <c:pt idx="113">
                  <c:v>0.63771829553272497</c:v>
                </c:pt>
                <c:pt idx="114">
                  <c:v>0.6259566384392985</c:v>
                </c:pt>
                <c:pt idx="115">
                  <c:v>0.58864209491202868</c:v>
                </c:pt>
                <c:pt idx="116">
                  <c:v>0.51983340169456993</c:v>
                </c:pt>
                <c:pt idx="117">
                  <c:v>0.41301748673691019</c:v>
                </c:pt>
                <c:pt idx="118">
                  <c:v>0.26117797552725408</c:v>
                </c:pt>
                <c:pt idx="119">
                  <c:v>5.6901032163937153E-2</c:v>
                </c:pt>
                <c:pt idx="120">
                  <c:v>-0.2074746050703439</c:v>
                </c:pt>
                <c:pt idx="125">
                  <c:v>-0.53965615152005142</c:v>
                </c:pt>
                <c:pt idx="130">
                  <c:v>-0.94713639113192583</c:v>
                </c:pt>
                <c:pt idx="131">
                  <c:v>-1.4368668669542723</c:v>
                </c:pt>
                <c:pt idx="132">
                  <c:v>-2.0148573565453098</c:v>
                </c:pt>
                <c:pt idx="133">
                  <c:v>-2.6856948842109998</c:v>
                </c:pt>
                <c:pt idx="134">
                  <c:v>-3.4519764582020809</c:v>
                </c:pt>
                <c:pt idx="135">
                  <c:v>-4.3136511295956526</c:v>
                </c:pt>
                <c:pt idx="136">
                  <c:v>-5.267268934900363</c:v>
                </c:pt>
                <c:pt idx="137">
                  <c:v>-6.3051368950129207</c:v>
                </c:pt>
                <c:pt idx="138">
                  <c:v>-7.4143855898576918</c:v>
                </c:pt>
                <c:pt idx="139">
                  <c:v>-8.5759540014124962</c:v>
                </c:pt>
                <c:pt idx="140">
                  <c:v>-9.7635054048287433</c:v>
                </c:pt>
                <c:pt idx="141">
                  <c:v>-10.942293167270954</c:v>
                </c:pt>
                <c:pt idx="142">
                  <c:v>-12.068002453518352</c:v>
                </c:pt>
                <c:pt idx="143">
                  <c:v>-13.085602084221938</c:v>
                </c:pt>
                <c:pt idx="144">
                  <c:v>-13.928250169260727</c:v>
                </c:pt>
                <c:pt idx="145">
                  <c:v>-14.516307633408896</c:v>
                </c:pt>
                <c:pt idx="146">
                  <c:v>-14.756525310089055</c:v>
                </c:pt>
                <c:pt idx="147">
                  <c:v>-14.541482793708093</c:v>
                </c:pt>
                <c:pt idx="148">
                  <c:v>-13.749370539784808</c:v>
                </c:pt>
                <c:pt idx="149">
                  <c:v>-12.244220535850792</c:v>
                </c:pt>
                <c:pt idx="150">
                  <c:v>-9.8767048962467889</c:v>
                </c:pt>
                <c:pt idx="151">
                  <c:v>-6.4856355184889729</c:v>
                </c:pt>
                <c:pt idx="152">
                  <c:v>-1.9003109189461156</c:v>
                </c:pt>
                <c:pt idx="153">
                  <c:v>4.0561321481122166</c:v>
                </c:pt>
                <c:pt idx="154">
                  <c:v>11.562195523698575</c:v>
                </c:pt>
                <c:pt idx="155">
                  <c:v>20.792152317094281</c:v>
                </c:pt>
                <c:pt idx="156">
                  <c:v>31.908661419732432</c:v>
                </c:pt>
                <c:pt idx="157">
                  <c:v>45.053694253834223</c:v>
                </c:pt>
                <c:pt idx="158">
                  <c:v>60.337615808961324</c:v>
                </c:pt>
                <c:pt idx="159">
                  <c:v>59.333458011456237</c:v>
                </c:pt>
                <c:pt idx="160">
                  <c:v>42.049843402889564</c:v>
                </c:pt>
                <c:pt idx="161">
                  <c:v>26.93196795008328</c:v>
                </c:pt>
                <c:pt idx="162">
                  <c:v>13.890634374566094</c:v>
                </c:pt>
                <c:pt idx="163">
                  <c:v>2.8099089936581292</c:v>
                </c:pt>
                <c:pt idx="164">
                  <c:v>-6.4400769657977639</c:v>
                </c:pt>
                <c:pt idx="165">
                  <c:v>-13.992245454213</c:v>
                </c:pt>
                <c:pt idx="166">
                  <c:v>-19.973483574171851</c:v>
                </c:pt>
                <c:pt idx="167">
                  <c:v>-24.497220645529726</c:v>
                </c:pt>
                <c:pt idx="168">
                  <c:v>-27.657547205740727</c:v>
                </c:pt>
                <c:pt idx="169">
                  <c:v>-29.524765729133382</c:v>
                </c:pt>
                <c:pt idx="170">
                  <c:v>-30.142281569749262</c:v>
                </c:pt>
                <c:pt idx="171">
                  <c:v>-29.524765729134369</c:v>
                </c:pt>
                <c:pt idx="172">
                  <c:v>-27.657547205742688</c:v>
                </c:pt>
                <c:pt idx="173">
                  <c:v>-24.497220645532654</c:v>
                </c:pt>
                <c:pt idx="174">
                  <c:v>-19.973483574175759</c:v>
                </c:pt>
                <c:pt idx="175">
                  <c:v>-13.992245454217924</c:v>
                </c:pt>
                <c:pt idx="176">
                  <c:v>-6.440076965803728</c:v>
                </c:pt>
                <c:pt idx="177">
                  <c:v>2.8099089936510961</c:v>
                </c:pt>
                <c:pt idx="178">
                  <c:v>13.890634374557965</c:v>
                </c:pt>
                <c:pt idx="179">
                  <c:v>26.931967950074029</c:v>
                </c:pt>
                <c:pt idx="180">
                  <c:v>42.049843402879212</c:v>
                </c:pt>
                <c:pt idx="181">
                  <c:v>59.333458011444797</c:v>
                </c:pt>
                <c:pt idx="182">
                  <c:v>60.337615808971208</c:v>
                </c:pt>
                <c:pt idx="183">
                  <c:v>45.053694253842544</c:v>
                </c:pt>
                <c:pt idx="184">
                  <c:v>31.908661419739325</c:v>
                </c:pt>
                <c:pt idx="185">
                  <c:v>20.792152317099873</c:v>
                </c:pt>
                <c:pt idx="186">
                  <c:v>11.562195523703023</c:v>
                </c:pt>
                <c:pt idx="187">
                  <c:v>4.056132148115668</c:v>
                </c:pt>
                <c:pt idx="188">
                  <c:v>-1.9003109189435039</c:v>
                </c:pt>
                <c:pt idx="189">
                  <c:v>-6.4856355184870687</c:v>
                </c:pt>
                <c:pt idx="190">
                  <c:v>-9.8767048962454727</c:v>
                </c:pt>
                <c:pt idx="191">
                  <c:v>-12.244220535849937</c:v>
                </c:pt>
                <c:pt idx="192">
                  <c:v>-13.749370539784318</c:v>
                </c:pt>
                <c:pt idx="193">
                  <c:v>-14.541482793707896</c:v>
                </c:pt>
                <c:pt idx="194">
                  <c:v>-14.756525310089069</c:v>
                </c:pt>
                <c:pt idx="195">
                  <c:v>-14.516307633409058</c:v>
                </c:pt>
                <c:pt idx="196">
                  <c:v>-13.928250169260986</c:v>
                </c:pt>
                <c:pt idx="197">
                  <c:v>-13.085602084222256</c:v>
                </c:pt>
                <c:pt idx="198">
                  <c:v>-12.068002453518698</c:v>
                </c:pt>
                <c:pt idx="199">
                  <c:v>-10.942293167271304</c:v>
                </c:pt>
                <c:pt idx="200">
                  <c:v>-9.7635054048290808</c:v>
                </c:pt>
                <c:pt idx="201">
                  <c:v>-8.5759540014128106</c:v>
                </c:pt>
                <c:pt idx="202">
                  <c:v>-7.4143855898579769</c:v>
                </c:pt>
                <c:pt idx="203">
                  <c:v>-6.3051368950131694</c:v>
                </c:pt>
                <c:pt idx="204">
                  <c:v>-5.2672689349005699</c:v>
                </c:pt>
                <c:pt idx="205">
                  <c:v>-4.3136511295958258</c:v>
                </c:pt>
                <c:pt idx="206">
                  <c:v>-3.4519764582022252</c:v>
                </c:pt>
                <c:pt idx="207">
                  <c:v>-2.6856948842111144</c:v>
                </c:pt>
                <c:pt idx="208">
                  <c:v>-2.0148573565453987</c:v>
                </c:pt>
                <c:pt idx="209">
                  <c:v>-1.4368668669543392</c:v>
                </c:pt>
                <c:pt idx="210">
                  <c:v>-0.94713639113197412</c:v>
                </c:pt>
                <c:pt idx="211">
                  <c:v>-0.53965615152008306</c:v>
                </c:pt>
                <c:pt idx="212">
                  <c:v>-0.20747460507036497</c:v>
                </c:pt>
                <c:pt idx="213">
                  <c:v>5.6901032163925717E-2</c:v>
                </c:pt>
                <c:pt idx="214">
                  <c:v>0.26117797552724781</c:v>
                </c:pt>
                <c:pt idx="215">
                  <c:v>0.41301748673690708</c:v>
                </c:pt>
                <c:pt idx="216">
                  <c:v>0.51983340169456993</c:v>
                </c:pt>
                <c:pt idx="217">
                  <c:v>0.58864209491202979</c:v>
                </c:pt>
                <c:pt idx="218">
                  <c:v>0.6259566384392985</c:v>
                </c:pt>
                <c:pt idx="219">
                  <c:v>0.63771829553272497</c:v>
                </c:pt>
                <c:pt idx="220">
                  <c:v>0.62925897651047302</c:v>
                </c:pt>
                <c:pt idx="221">
                  <c:v>0.60528883963933289</c:v>
                </c:pt>
                <c:pt idx="222">
                  <c:v>0.56990381304240811</c:v>
                </c:pt>
                <c:pt idx="223">
                  <c:v>0.52660841976904638</c:v>
                </c:pt>
                <c:pt idx="224">
                  <c:v>0.47834988770206277</c:v>
                </c:pt>
                <c:pt idx="225">
                  <c:v>0.42756010379552772</c:v>
                </c:pt>
                <c:pt idx="226">
                  <c:v>0.37620251708406494</c:v>
                </c:pt>
                <c:pt idx="227">
                  <c:v>0.32582159920413684</c:v>
                </c:pt>
                <c:pt idx="228">
                  <c:v>0.27759292988626638</c:v>
                </c:pt>
                <c:pt idx="229">
                  <c:v>0.23237238543292157</c:v>
                </c:pt>
                <c:pt idx="230">
                  <c:v>0.1907432699102477</c:v>
                </c:pt>
                <c:pt idx="231">
                  <c:v>0.15306054247304543</c:v>
                </c:pt>
                <c:pt idx="232">
                  <c:v>0.11949156187661993</c:v>
                </c:pt>
                <c:pt idx="233">
                  <c:v>9.0052993608773002E-2</c:v>
                </c:pt>
                <c:pt idx="234">
                  <c:v>6.4643709577354519E-2</c:v>
                </c:pt>
                <c:pt idx="235">
                  <c:v>4.3073658644415022E-2</c:v>
                </c:pt>
                <c:pt idx="236">
                  <c:v>2.5088802410773881E-2</c:v>
                </c:pt>
                <c:pt idx="237">
                  <c:v>1.0392298454917466E-2</c:v>
                </c:pt>
                <c:pt idx="238">
                  <c:v>-1.3378234401826867E-3</c:v>
                </c:pt>
                <c:pt idx="239">
                  <c:v>-1.0434204011762278E-2</c:v>
                </c:pt>
                <c:pt idx="240">
                  <c:v>-1.7228602978230142E-2</c:v>
                </c:pt>
                <c:pt idx="241">
                  <c:v>-2.2042929087851396E-2</c:v>
                </c:pt>
                <c:pt idx="242">
                  <c:v>-2.5182528048403242E-2</c:v>
                </c:pt>
                <c:pt idx="243">
                  <c:v>-2.6931413917576724E-2</c:v>
                </c:pt>
                <c:pt idx="244">
                  <c:v>-2.7549145450571834E-2</c:v>
                </c:pt>
                <c:pt idx="245">
                  <c:v>-2.7269069540694583E-2</c:v>
                </c:pt>
                <c:pt idx="246">
                  <c:v>-2.629767763513699E-2</c:v>
                </c:pt>
                <c:pt idx="247">
                  <c:v>-2.4814846517690708E-2</c:v>
                </c:pt>
                <c:pt idx="248">
                  <c:v>-2.2974761027860592E-2</c:v>
                </c:pt>
                <c:pt idx="249">
                  <c:v>-2.0907342260629697E-2</c:v>
                </c:pt>
                <c:pt idx="250">
                  <c:v>-1.8720029890337872E-2</c:v>
                </c:pt>
                <c:pt idx="251">
                  <c:v>-1.6499790986234449E-2</c:v>
                </c:pt>
                <c:pt idx="252">
                  <c:v>-1.4315249685278676E-2</c:v>
                </c:pt>
                <c:pt idx="253">
                  <c:v>-1.2218852134104589E-2</c:v>
                </c:pt>
                <c:pt idx="254">
                  <c:v>-1.0248999085007099E-2</c:v>
                </c:pt>
                <c:pt idx="255">
                  <c:v>-8.4320943928380583E-3</c:v>
                </c:pt>
                <c:pt idx="256">
                  <c:v>-6.7844714399377974E-3</c:v>
                </c:pt>
                <c:pt idx="257">
                  <c:v>-5.3141712948470456E-3</c:v>
                </c:pt>
                <c:pt idx="258">
                  <c:v>-4.0225563052701894E-3</c:v>
                </c:pt>
                <c:pt idx="259">
                  <c:v>-2.9057509802992458E-3</c:v>
                </c:pt>
                <c:pt idx="260">
                  <c:v>-1.9559085912245868E-3</c:v>
                </c:pt>
                <c:pt idx="261">
                  <c:v>-1.1623070825607011E-3</c:v>
                </c:pt>
                <c:pt idx="262">
                  <c:v>-5.1228180518065366E-4</c:v>
                </c:pt>
                <c:pt idx="263">
                  <c:v>7.994571658841246E-6</c:v>
                </c:pt>
                <c:pt idx="264">
                  <c:v>4.1287268363511976E-4</c:v>
                </c:pt>
                <c:pt idx="265">
                  <c:v>7.1671418170191179E-4</c:v>
                </c:pt>
                <c:pt idx="266">
                  <c:v>9.3349254746331238E-4</c:v>
                </c:pt>
                <c:pt idx="267">
                  <c:v>1.0764930023137798E-3</c:v>
                </c:pt>
                <c:pt idx="268">
                  <c:v>1.1580978633521906E-3</c:v>
                </c:pt>
                <c:pt idx="269">
                  <c:v>1.1896443597134623E-3</c:v>
                </c:pt>
                <c:pt idx="270">
                  <c:v>1.181342796099757E-3</c:v>
                </c:pt>
                <c:pt idx="271">
                  <c:v>1.1422439647711645E-3</c:v>
                </c:pt>
                <c:pt idx="272">
                  <c:v>1.0802458037579841E-3</c:v>
                </c:pt>
                <c:pt idx="273">
                  <c:v>1.0021304291340202E-3</c:v>
                </c:pt>
                <c:pt idx="274">
                  <c:v>9.1362379419062734E-4</c:v>
                </c:pt>
                <c:pt idx="275">
                  <c:v>8.1947131832047979E-4</c:v>
                </c:pt>
                <c:pt idx="276">
                  <c:v>7.235238610020405E-4</c:v>
                </c:pt>
                <c:pt idx="277">
                  <c:v>6.2882937564947303E-4</c:v>
                </c:pt>
                <c:pt idx="278">
                  <c:v>5.3772645396175521E-4</c:v>
                </c:pt>
                <c:pt idx="279">
                  <c:v>4.5193675805889284E-4</c:v>
                </c:pt>
                <c:pt idx="280">
                  <c:v>3.7265403315092372E-4</c:v>
                </c:pt>
                <c:pt idx="281">
                  <c:v>3.0062799872336538E-4</c:v>
                </c:pt>
                <c:pt idx="282">
                  <c:v>2.362419344935768E-4</c:v>
                </c:pt>
                <c:pt idx="283">
                  <c:v>1.7958321363134276E-4</c:v>
                </c:pt>
                <c:pt idx="284">
                  <c:v>1.3050639605255909E-4</c:v>
                </c:pt>
                <c:pt idx="285">
                  <c:v>8.8688785841068056E-5</c:v>
                </c:pt>
                <c:pt idx="286">
                  <c:v>5.3678586275087434E-5</c:v>
                </c:pt>
                <c:pt idx="287">
                  <c:v>2.4935960879982478E-5</c:v>
                </c:pt>
                <c:pt idx="288">
                  <c:v>1.8674366253045014E-6</c:v>
                </c:pt>
                <c:pt idx="289">
                  <c:v>-1.6145827236832087E-5</c:v>
                </c:pt>
                <c:pt idx="290">
                  <c:v>-2.9725327621354824E-5</c:v>
                </c:pt>
                <c:pt idx="291">
                  <c:v>-3.9477460505317759E-5</c:v>
                </c:pt>
                <c:pt idx="292">
                  <c:v>-4.598011201320524E-5</c:v>
                </c:pt>
                <c:pt idx="293">
                  <c:v>-4.9773005527965461E-5</c:v>
                </c:pt>
                <c:pt idx="294">
                  <c:v>-5.1351239993447963E-5</c:v>
                </c:pt>
                <c:pt idx="295">
                  <c:v>-5.1161491457575692E-5</c:v>
                </c:pt>
                <c:pt idx="296">
                  <c:v>-4.9600393208865587E-5</c:v>
                </c:pt>
                <c:pt idx="297">
                  <c:v>-4.7014656964395409E-5</c:v>
                </c:pt>
                <c:pt idx="298">
                  <c:v>-4.3702546331976684E-5</c:v>
                </c:pt>
                <c:pt idx="299">
                  <c:v>-3.9916362478683593E-5</c:v>
                </c:pt>
                <c:pt idx="300">
                  <c:v>-3.5865649258620496E-5</c:v>
                </c:pt>
                <c:pt idx="301">
                  <c:v>-3.1720869985062819E-5</c:v>
                </c:pt>
                <c:pt idx="302">
                  <c:v>-2.7617349863348213E-5</c:v>
                </c:pt>
                <c:pt idx="303">
                  <c:v>-2.3659316362028176E-5</c:v>
                </c:pt>
                <c:pt idx="304">
                  <c:v>-1.9923904224169419E-5</c:v>
                </c:pt>
                <c:pt idx="305">
                  <c:v>-1.6465022306709288E-5</c:v>
                </c:pt>
                <c:pt idx="306">
                  <c:v>-1.3317006013091033E-5</c:v>
                </c:pt>
                <c:pt idx="307">
                  <c:v>-1.0498001884126825E-5</c:v>
                </c:pt>
                <c:pt idx="308">
                  <c:v>-8.0130501405782325E-6</c:v>
                </c:pt>
                <c:pt idx="309">
                  <c:v>-5.8568468876895245E-6</c:v>
                </c:pt>
                <c:pt idx="310">
                  <c:v>-4.0161805903107983E-6</c:v>
                </c:pt>
                <c:pt idx="311">
                  <c:v>-2.472047619172075E-6</c:v>
                </c:pt>
                <c:pt idx="312">
                  <c:v>-1.2014594719167117E-6</c:v>
                </c:pt>
                <c:pt idx="313">
                  <c:v>-1.7895999995108378E-7</c:v>
                </c:pt>
                <c:pt idx="314">
                  <c:v>6.2212507471308596E-7</c:v>
                </c:pt>
                <c:pt idx="315">
                  <c:v>1.2286816060690747E-6</c:v>
                </c:pt>
                <c:pt idx="316">
                  <c:v>1.6670174539913493E-6</c:v>
                </c:pt>
                <c:pt idx="317">
                  <c:v>1.9622636743713854E-6</c:v>
                </c:pt>
                <c:pt idx="318">
                  <c:v>2.1379407818606925E-6</c:v>
                </c:pt>
                <c:pt idx="319">
                  <c:v>2.2156655240407022E-6</c:v>
                </c:pt>
                <c:pt idx="320">
                  <c:v>2.2149751614457625E-6</c:v>
                </c:pt>
                <c:pt idx="321">
                  <c:v>2.1532480946350271E-6</c:v>
                </c:pt>
                <c:pt idx="322">
                  <c:v>2.0457017019652087E-6</c:v>
                </c:pt>
                <c:pt idx="323">
                  <c:v>1.9054503550952459E-6</c:v>
                </c:pt>
                <c:pt idx="324">
                  <c:v>1.7436086875348951E-6</c:v>
                </c:pt>
                <c:pt idx="325">
                  <c:v>1.5694272454046543E-6</c:v>
                </c:pt>
                <c:pt idx="326">
                  <c:v>1.39044960431445E-6</c:v>
                </c:pt>
                <c:pt idx="327">
                  <c:v>1.2126818598345557E-6</c:v>
                </c:pt>
                <c:pt idx="328">
                  <c:v>1.0407670700865429E-6</c:v>
                </c:pt>
                <c:pt idx="329">
                  <c:v>8.7815873512378448E-7</c:v>
                </c:pt>
                <c:pt idx="330">
                  <c:v>7.2728873390062685E-7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36-4B9B-96FD-1859B28E0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225216"/>
        <c:axId val="14322713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[1]System_mit_Schwellen!$V$6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15875">
                    <a:solidFill>
                      <a:srgbClr val="0070C0"/>
                    </a:solidFill>
                  </a:ln>
                </c:spPr>
                <c:marker>
                  <c:symbol val="none"/>
                </c:marker>
                <c:dPt>
                  <c:idx val="215"/>
                  <c:bubble3D val="0"/>
                  <c:extLst>
                    <c:ext xmlns:c16="http://schemas.microsoft.com/office/drawing/2014/chart" uri="{C3380CC4-5D6E-409C-BE32-E72D297353CC}">
                      <c16:uniqueId val="{00000001-E236-4B9B-96FD-1859B28E0564}"/>
                    </c:ext>
                  </c:extLst>
                </c:dPt>
                <c:xVal>
                  <c:numLit>
                    <c:formatCode>General</c:formatCode>
                    <c:ptCount val="323"/>
                    <c:pt idx="0">
                      <c:v>0</c:v>
                    </c:pt>
                    <c:pt idx="1">
                      <c:v>0.1</c:v>
                    </c:pt>
                    <c:pt idx="2">
                      <c:v>0.2</c:v>
                    </c:pt>
                    <c:pt idx="3">
                      <c:v>0.30000000000000004</c:v>
                    </c:pt>
                    <c:pt idx="5">
                      <c:v>0.4</c:v>
                    </c:pt>
                    <c:pt idx="6">
                      <c:v>0.5</c:v>
                    </c:pt>
                    <c:pt idx="7">
                      <c:v>0.6</c:v>
                    </c:pt>
                    <c:pt idx="8">
                      <c:v>0.7</c:v>
                    </c:pt>
                    <c:pt idx="10">
                      <c:v>0.79999999999999993</c:v>
                    </c:pt>
                    <c:pt idx="11">
                      <c:v>0.89999999999999991</c:v>
                    </c:pt>
                    <c:pt idx="12">
                      <c:v>0.99999999999999989</c:v>
                    </c:pt>
                    <c:pt idx="13">
                      <c:v>1.0999999999999999</c:v>
                    </c:pt>
                    <c:pt idx="14">
                      <c:v>1.2</c:v>
                    </c:pt>
                    <c:pt idx="15">
                      <c:v>1.3</c:v>
                    </c:pt>
                    <c:pt idx="16">
                      <c:v>1.4000000000000001</c:v>
                    </c:pt>
                    <c:pt idx="17">
                      <c:v>1.5000000000000002</c:v>
                    </c:pt>
                    <c:pt idx="18">
                      <c:v>1.6000000000000003</c:v>
                    </c:pt>
                    <c:pt idx="19">
                      <c:v>1.7000000000000004</c:v>
                    </c:pt>
                    <c:pt idx="20">
                      <c:v>1.8000000000000005</c:v>
                    </c:pt>
                    <c:pt idx="21">
                      <c:v>1.9000000000000006</c:v>
                    </c:pt>
                    <c:pt idx="22">
                      <c:v>2.0000000000000004</c:v>
                    </c:pt>
                    <c:pt idx="23">
                      <c:v>2.1000000000000005</c:v>
                    </c:pt>
                    <c:pt idx="24">
                      <c:v>2.2000000000000006</c:v>
                    </c:pt>
                    <c:pt idx="25">
                      <c:v>2.3000000000000007</c:v>
                    </c:pt>
                    <c:pt idx="26">
                      <c:v>2.4000000000000008</c:v>
                    </c:pt>
                    <c:pt idx="27">
                      <c:v>2.5000000000000009</c:v>
                    </c:pt>
                    <c:pt idx="28">
                      <c:v>2.600000000000001</c:v>
                    </c:pt>
                    <c:pt idx="29">
                      <c:v>2.7000000000000011</c:v>
                    </c:pt>
                    <c:pt idx="30">
                      <c:v>2.8000000000000012</c:v>
                    </c:pt>
                    <c:pt idx="31">
                      <c:v>2.9000000000000012</c:v>
                    </c:pt>
                    <c:pt idx="32">
                      <c:v>3.0000000000000013</c:v>
                    </c:pt>
                    <c:pt idx="33">
                      <c:v>3.1000000000000014</c:v>
                    </c:pt>
                    <c:pt idx="34">
                      <c:v>3.2000000000000015</c:v>
                    </c:pt>
                    <c:pt idx="35">
                      <c:v>3.3000000000000016</c:v>
                    </c:pt>
                    <c:pt idx="36">
                      <c:v>3.4000000000000017</c:v>
                    </c:pt>
                    <c:pt idx="37">
                      <c:v>3.5000000000000018</c:v>
                    </c:pt>
                    <c:pt idx="38">
                      <c:v>3.6000000000000019</c:v>
                    </c:pt>
                    <c:pt idx="39">
                      <c:v>3.700000000000002</c:v>
                    </c:pt>
                    <c:pt idx="40">
                      <c:v>3.800000000000002</c:v>
                    </c:pt>
                    <c:pt idx="41">
                      <c:v>3.9000000000000021</c:v>
                    </c:pt>
                    <c:pt idx="42">
                      <c:v>4.0000000000000018</c:v>
                    </c:pt>
                    <c:pt idx="43">
                      <c:v>4.1000000000000014</c:v>
                    </c:pt>
                    <c:pt idx="44">
                      <c:v>4.2000000000000011</c:v>
                    </c:pt>
                    <c:pt idx="45">
                      <c:v>4.3000000000000007</c:v>
                    </c:pt>
                    <c:pt idx="46">
                      <c:v>4.4000000000000004</c:v>
                    </c:pt>
                    <c:pt idx="47">
                      <c:v>4.5</c:v>
                    </c:pt>
                    <c:pt idx="48">
                      <c:v>4.5999999999999996</c:v>
                    </c:pt>
                    <c:pt idx="49">
                      <c:v>4.6999999999999993</c:v>
                    </c:pt>
                    <c:pt idx="50">
                      <c:v>4.7999999999999989</c:v>
                    </c:pt>
                    <c:pt idx="51">
                      <c:v>4.8999999999999986</c:v>
                    </c:pt>
                    <c:pt idx="52">
                      <c:v>4.9999999999999982</c:v>
                    </c:pt>
                    <c:pt idx="53">
                      <c:v>5.0999999999999979</c:v>
                    </c:pt>
                    <c:pt idx="54">
                      <c:v>5.1999999999999975</c:v>
                    </c:pt>
                    <c:pt idx="55">
                      <c:v>5.2999999999999972</c:v>
                    </c:pt>
                    <c:pt idx="56">
                      <c:v>5.3999999999999968</c:v>
                    </c:pt>
                    <c:pt idx="57">
                      <c:v>5.4999999999999964</c:v>
                    </c:pt>
                    <c:pt idx="58">
                      <c:v>5.5999999999999961</c:v>
                    </c:pt>
                    <c:pt idx="59">
                      <c:v>5.6999999999999957</c:v>
                    </c:pt>
                    <c:pt idx="60">
                      <c:v>5.7999999999999954</c:v>
                    </c:pt>
                    <c:pt idx="61">
                      <c:v>5.899999999999995</c:v>
                    </c:pt>
                    <c:pt idx="62">
                      <c:v>5.9999999999999947</c:v>
                    </c:pt>
                    <c:pt idx="63">
                      <c:v>6.0999999999999943</c:v>
                    </c:pt>
                    <c:pt idx="64">
                      <c:v>6.199999999999994</c:v>
                    </c:pt>
                    <c:pt idx="65">
                      <c:v>6.2999999999999936</c:v>
                    </c:pt>
                    <c:pt idx="66">
                      <c:v>6.3999999999999932</c:v>
                    </c:pt>
                    <c:pt idx="67">
                      <c:v>6.4999999999999929</c:v>
                    </c:pt>
                    <c:pt idx="68">
                      <c:v>6.5999999999999925</c:v>
                    </c:pt>
                    <c:pt idx="69">
                      <c:v>6.6999999999999922</c:v>
                    </c:pt>
                    <c:pt idx="70">
                      <c:v>6.7999999999999918</c:v>
                    </c:pt>
                    <c:pt idx="71">
                      <c:v>6.8999999999999915</c:v>
                    </c:pt>
                    <c:pt idx="72">
                      <c:v>6.9999999999999911</c:v>
                    </c:pt>
                    <c:pt idx="73">
                      <c:v>7.0999999999999908</c:v>
                    </c:pt>
                    <c:pt idx="74">
                      <c:v>7.1999999999999904</c:v>
                    </c:pt>
                    <c:pt idx="75">
                      <c:v>7.2999999999999901</c:v>
                    </c:pt>
                    <c:pt idx="76">
                      <c:v>7.3999999999999897</c:v>
                    </c:pt>
                    <c:pt idx="77">
                      <c:v>7.4999999999999893</c:v>
                    </c:pt>
                    <c:pt idx="78">
                      <c:v>7.599999999999989</c:v>
                    </c:pt>
                    <c:pt idx="79">
                      <c:v>7.6999999999999886</c:v>
                    </c:pt>
                    <c:pt idx="80">
                      <c:v>7.7999999999999883</c:v>
                    </c:pt>
                    <c:pt idx="81">
                      <c:v>7.8999999999999879</c:v>
                    </c:pt>
                    <c:pt idx="82">
                      <c:v>7.9999999999999876</c:v>
                    </c:pt>
                    <c:pt idx="83">
                      <c:v>8.0999999999999872</c:v>
                    </c:pt>
                    <c:pt idx="84">
                      <c:v>8.1999999999999869</c:v>
                    </c:pt>
                    <c:pt idx="85">
                      <c:v>8.2999999999999865</c:v>
                    </c:pt>
                    <c:pt idx="86">
                      <c:v>8.3999999999999861</c:v>
                    </c:pt>
                    <c:pt idx="87">
                      <c:v>8.4999999999999858</c:v>
                    </c:pt>
                    <c:pt idx="88">
                      <c:v>8.5999999999999854</c:v>
                    </c:pt>
                    <c:pt idx="89">
                      <c:v>8.6999999999999851</c:v>
                    </c:pt>
                    <c:pt idx="90">
                      <c:v>8.7999999999999847</c:v>
                    </c:pt>
                    <c:pt idx="91">
                      <c:v>8.8999999999999844</c:v>
                    </c:pt>
                    <c:pt idx="92">
                      <c:v>8.999999999999984</c:v>
                    </c:pt>
                    <c:pt idx="93">
                      <c:v>9.0999999999999837</c:v>
                    </c:pt>
                    <c:pt idx="94">
                      <c:v>9.1999999999999833</c:v>
                    </c:pt>
                    <c:pt idx="95">
                      <c:v>9.2999999999999829</c:v>
                    </c:pt>
                    <c:pt idx="96">
                      <c:v>9.3999999999999826</c:v>
                    </c:pt>
                    <c:pt idx="97">
                      <c:v>9.4999999999999822</c:v>
                    </c:pt>
                    <c:pt idx="98">
                      <c:v>9.5999999999999819</c:v>
                    </c:pt>
                    <c:pt idx="99">
                      <c:v>9.6999999999999815</c:v>
                    </c:pt>
                    <c:pt idx="100">
                      <c:v>9.7999999999999812</c:v>
                    </c:pt>
                    <c:pt idx="101">
                      <c:v>9.8999999999999808</c:v>
                    </c:pt>
                    <c:pt idx="102">
                      <c:v>9.9999999999999805</c:v>
                    </c:pt>
                    <c:pt idx="103">
                      <c:v>10.09999999999998</c:v>
                    </c:pt>
                    <c:pt idx="104">
                      <c:v>10.19999999999998</c:v>
                    </c:pt>
                    <c:pt idx="105">
                      <c:v>10.299999999999979</c:v>
                    </c:pt>
                    <c:pt idx="106">
                      <c:v>10.399999999999979</c:v>
                    </c:pt>
                    <c:pt idx="107">
                      <c:v>10.499999999999979</c:v>
                    </c:pt>
                    <c:pt idx="108">
                      <c:v>10.599999999999978</c:v>
                    </c:pt>
                    <c:pt idx="109">
                      <c:v>10.699999999999978</c:v>
                    </c:pt>
                    <c:pt idx="110">
                      <c:v>10.799999999999978</c:v>
                    </c:pt>
                    <c:pt idx="111">
                      <c:v>10.899999999999977</c:v>
                    </c:pt>
                    <c:pt idx="112">
                      <c:v>10.999999999999977</c:v>
                    </c:pt>
                    <c:pt idx="113">
                      <c:v>11.099999999999977</c:v>
                    </c:pt>
                    <c:pt idx="114">
                      <c:v>11.199999999999976</c:v>
                    </c:pt>
                    <c:pt idx="115">
                      <c:v>11.299999999999976</c:v>
                    </c:pt>
                    <c:pt idx="116">
                      <c:v>11.399999999999975</c:v>
                    </c:pt>
                    <c:pt idx="117">
                      <c:v>11.499999999999975</c:v>
                    </c:pt>
                    <c:pt idx="118">
                      <c:v>11.599999999999975</c:v>
                    </c:pt>
                    <c:pt idx="119">
                      <c:v>11.699999999999974</c:v>
                    </c:pt>
                    <c:pt idx="120">
                      <c:v>11.799999999999974</c:v>
                    </c:pt>
                    <c:pt idx="121">
                      <c:v>11.899999999999974</c:v>
                    </c:pt>
                    <c:pt idx="122">
                      <c:v>11.999999999999973</c:v>
                    </c:pt>
                    <c:pt idx="123">
                      <c:v>12.099999999999973</c:v>
                    </c:pt>
                    <c:pt idx="124">
                      <c:v>12.199999999999973</c:v>
                    </c:pt>
                    <c:pt idx="125">
                      <c:v>12.299999999999972</c:v>
                    </c:pt>
                    <c:pt idx="126">
                      <c:v>12.399999999999972</c:v>
                    </c:pt>
                    <c:pt idx="127">
                      <c:v>12.499999999999972</c:v>
                    </c:pt>
                    <c:pt idx="128">
                      <c:v>12.599999999999971</c:v>
                    </c:pt>
                    <c:pt idx="129">
                      <c:v>12.699999999999971</c:v>
                    </c:pt>
                    <c:pt idx="130">
                      <c:v>12.799999999999971</c:v>
                    </c:pt>
                    <c:pt idx="131">
                      <c:v>12.89999999999997</c:v>
                    </c:pt>
                    <c:pt idx="132">
                      <c:v>12.99999999999997</c:v>
                    </c:pt>
                    <c:pt idx="133">
                      <c:v>13.099999999999969</c:v>
                    </c:pt>
                    <c:pt idx="134">
                      <c:v>13.199999999999969</c:v>
                    </c:pt>
                    <c:pt idx="135">
                      <c:v>13.299999999999969</c:v>
                    </c:pt>
                    <c:pt idx="136">
                      <c:v>13.399999999999968</c:v>
                    </c:pt>
                    <c:pt idx="137">
                      <c:v>13.499999999999968</c:v>
                    </c:pt>
                    <c:pt idx="138">
                      <c:v>13.599999999999968</c:v>
                    </c:pt>
                    <c:pt idx="139">
                      <c:v>13.699999999999967</c:v>
                    </c:pt>
                    <c:pt idx="140">
                      <c:v>13.799999999999967</c:v>
                    </c:pt>
                    <c:pt idx="141">
                      <c:v>13.899999999999967</c:v>
                    </c:pt>
                    <c:pt idx="142">
                      <c:v>13.999999999999966</c:v>
                    </c:pt>
                    <c:pt idx="143">
                      <c:v>14.099999999999966</c:v>
                    </c:pt>
                    <c:pt idx="144">
                      <c:v>14.199999999999966</c:v>
                    </c:pt>
                    <c:pt idx="145">
                      <c:v>14.299999999999965</c:v>
                    </c:pt>
                    <c:pt idx="146">
                      <c:v>14.399999999999965</c:v>
                    </c:pt>
                    <c:pt idx="147">
                      <c:v>14.499999999999964</c:v>
                    </c:pt>
                    <c:pt idx="148">
                      <c:v>14.599999999999964</c:v>
                    </c:pt>
                    <c:pt idx="149">
                      <c:v>14.699999999999964</c:v>
                    </c:pt>
                    <c:pt idx="150">
                      <c:v>14.799999999999963</c:v>
                    </c:pt>
                    <c:pt idx="151">
                      <c:v>14.899999999999963</c:v>
                    </c:pt>
                    <c:pt idx="152">
                      <c:v>14.999999999999963</c:v>
                    </c:pt>
                    <c:pt idx="153">
                      <c:v>15.099999999999962</c:v>
                    </c:pt>
                    <c:pt idx="154">
                      <c:v>15.199999999999962</c:v>
                    </c:pt>
                    <c:pt idx="155">
                      <c:v>15.299999999999962</c:v>
                    </c:pt>
                    <c:pt idx="156">
                      <c:v>15.399999999999961</c:v>
                    </c:pt>
                    <c:pt idx="157">
                      <c:v>15.499999999999961</c:v>
                    </c:pt>
                    <c:pt idx="158">
                      <c:v>15.599999999999961</c:v>
                    </c:pt>
                    <c:pt idx="159">
                      <c:v>15.69999999999996</c:v>
                    </c:pt>
                    <c:pt idx="160">
                      <c:v>15.79999999999996</c:v>
                    </c:pt>
                    <c:pt idx="161">
                      <c:v>15.899999999999959</c:v>
                    </c:pt>
                    <c:pt idx="162">
                      <c:v>15.999999999999959</c:v>
                    </c:pt>
                    <c:pt idx="163">
                      <c:v>16.099999999999959</c:v>
                    </c:pt>
                    <c:pt idx="164">
                      <c:v>16.19999999999996</c:v>
                    </c:pt>
                    <c:pt idx="165">
                      <c:v>16.299999999999962</c:v>
                    </c:pt>
                    <c:pt idx="166">
                      <c:v>16.399999999999963</c:v>
                    </c:pt>
                    <c:pt idx="167">
                      <c:v>16.499999999999964</c:v>
                    </c:pt>
                    <c:pt idx="168">
                      <c:v>16.599999999999966</c:v>
                    </c:pt>
                    <c:pt idx="169">
                      <c:v>16.699999999999967</c:v>
                    </c:pt>
                    <c:pt idx="170">
                      <c:v>16.799999999999969</c:v>
                    </c:pt>
                    <c:pt idx="171">
                      <c:v>16.89999999999997</c:v>
                    </c:pt>
                    <c:pt idx="172">
                      <c:v>16.999999999999972</c:v>
                    </c:pt>
                    <c:pt idx="173">
                      <c:v>17.099999999999973</c:v>
                    </c:pt>
                    <c:pt idx="174">
                      <c:v>17.199999999999974</c:v>
                    </c:pt>
                    <c:pt idx="175">
                      <c:v>17.299999999999976</c:v>
                    </c:pt>
                    <c:pt idx="176">
                      <c:v>17.399999999999977</c:v>
                    </c:pt>
                    <c:pt idx="177">
                      <c:v>17.499999999999979</c:v>
                    </c:pt>
                    <c:pt idx="178">
                      <c:v>17.59999999999998</c:v>
                    </c:pt>
                    <c:pt idx="179">
                      <c:v>17.699999999999982</c:v>
                    </c:pt>
                    <c:pt idx="180">
                      <c:v>17.799999999999983</c:v>
                    </c:pt>
                    <c:pt idx="181">
                      <c:v>17.899999999999984</c:v>
                    </c:pt>
                    <c:pt idx="182">
                      <c:v>17.999999999999986</c:v>
                    </c:pt>
                    <c:pt idx="183">
                      <c:v>18.099999999999987</c:v>
                    </c:pt>
                    <c:pt idx="184">
                      <c:v>18.199999999999989</c:v>
                    </c:pt>
                    <c:pt idx="185">
                      <c:v>18.29999999999999</c:v>
                    </c:pt>
                    <c:pt idx="186">
                      <c:v>18.399999999999991</c:v>
                    </c:pt>
                    <c:pt idx="187">
                      <c:v>18.499999999999993</c:v>
                    </c:pt>
                    <c:pt idx="188">
                      <c:v>18.599999999999994</c:v>
                    </c:pt>
                    <c:pt idx="189">
                      <c:v>18.699999999999996</c:v>
                    </c:pt>
                    <c:pt idx="190">
                      <c:v>18.799999999999997</c:v>
                    </c:pt>
                    <c:pt idx="191">
                      <c:v>18.899999999999999</c:v>
                    </c:pt>
                    <c:pt idx="192">
                      <c:v>19</c:v>
                    </c:pt>
                    <c:pt idx="193">
                      <c:v>19.100000000000001</c:v>
                    </c:pt>
                    <c:pt idx="194">
                      <c:v>19.200000000000003</c:v>
                    </c:pt>
                    <c:pt idx="195">
                      <c:v>19.300000000000004</c:v>
                    </c:pt>
                    <c:pt idx="196">
                      <c:v>19.400000000000006</c:v>
                    </c:pt>
                    <c:pt idx="197">
                      <c:v>19.500000000000007</c:v>
                    </c:pt>
                    <c:pt idx="198">
                      <c:v>19.600000000000009</c:v>
                    </c:pt>
                    <c:pt idx="199">
                      <c:v>19.70000000000001</c:v>
                    </c:pt>
                    <c:pt idx="200">
                      <c:v>19.800000000000011</c:v>
                    </c:pt>
                    <c:pt idx="201">
                      <c:v>19.900000000000013</c:v>
                    </c:pt>
                    <c:pt idx="202">
                      <c:v>20.000000000000014</c:v>
                    </c:pt>
                    <c:pt idx="203">
                      <c:v>20.100000000000016</c:v>
                    </c:pt>
                    <c:pt idx="204">
                      <c:v>20.200000000000017</c:v>
                    </c:pt>
                    <c:pt idx="205">
                      <c:v>20.300000000000018</c:v>
                    </c:pt>
                    <c:pt idx="206">
                      <c:v>20.40000000000002</c:v>
                    </c:pt>
                    <c:pt idx="207">
                      <c:v>20.500000000000021</c:v>
                    </c:pt>
                    <c:pt idx="208">
                      <c:v>20.600000000000023</c:v>
                    </c:pt>
                    <c:pt idx="209">
                      <c:v>20.700000000000024</c:v>
                    </c:pt>
                    <c:pt idx="210">
                      <c:v>20.800000000000026</c:v>
                    </c:pt>
                    <c:pt idx="211">
                      <c:v>20.900000000000027</c:v>
                    </c:pt>
                    <c:pt idx="212">
                      <c:v>21.000000000000028</c:v>
                    </c:pt>
                    <c:pt idx="213">
                      <c:v>21.10000000000003</c:v>
                    </c:pt>
                    <c:pt idx="214">
                      <c:v>21.200000000000031</c:v>
                    </c:pt>
                    <c:pt idx="215">
                      <c:v>21.300000000000033</c:v>
                    </c:pt>
                    <c:pt idx="216">
                      <c:v>21.400000000000034</c:v>
                    </c:pt>
                    <c:pt idx="217">
                      <c:v>21.500000000000036</c:v>
                    </c:pt>
                    <c:pt idx="218">
                      <c:v>21.600000000000037</c:v>
                    </c:pt>
                    <c:pt idx="219">
                      <c:v>21.700000000000038</c:v>
                    </c:pt>
                    <c:pt idx="220">
                      <c:v>21.80000000000004</c:v>
                    </c:pt>
                    <c:pt idx="221">
                      <c:v>21.900000000000041</c:v>
                    </c:pt>
                    <c:pt idx="222">
                      <c:v>22.000000000000043</c:v>
                    </c:pt>
                    <c:pt idx="223">
                      <c:v>22.100000000000044</c:v>
                    </c:pt>
                    <c:pt idx="224">
                      <c:v>22.200000000000045</c:v>
                    </c:pt>
                    <c:pt idx="225">
                      <c:v>22.300000000000047</c:v>
                    </c:pt>
                    <c:pt idx="226">
                      <c:v>22.400000000000048</c:v>
                    </c:pt>
                    <c:pt idx="227">
                      <c:v>22.50000000000005</c:v>
                    </c:pt>
                    <c:pt idx="228">
                      <c:v>22.600000000000051</c:v>
                    </c:pt>
                    <c:pt idx="229">
                      <c:v>22.700000000000053</c:v>
                    </c:pt>
                    <c:pt idx="230">
                      <c:v>22.800000000000054</c:v>
                    </c:pt>
                    <c:pt idx="231">
                      <c:v>22.900000000000055</c:v>
                    </c:pt>
                    <c:pt idx="232">
                      <c:v>23.000000000000057</c:v>
                    </c:pt>
                    <c:pt idx="233">
                      <c:v>23.100000000000058</c:v>
                    </c:pt>
                    <c:pt idx="234">
                      <c:v>23.20000000000006</c:v>
                    </c:pt>
                    <c:pt idx="235">
                      <c:v>23.300000000000061</c:v>
                    </c:pt>
                    <c:pt idx="236">
                      <c:v>23.400000000000063</c:v>
                    </c:pt>
                    <c:pt idx="237">
                      <c:v>23.500000000000064</c:v>
                    </c:pt>
                    <c:pt idx="238">
                      <c:v>23.600000000000065</c:v>
                    </c:pt>
                    <c:pt idx="239">
                      <c:v>23.700000000000067</c:v>
                    </c:pt>
                    <c:pt idx="240">
                      <c:v>23.800000000000068</c:v>
                    </c:pt>
                    <c:pt idx="241">
                      <c:v>23.90000000000007</c:v>
                    </c:pt>
                    <c:pt idx="242">
                      <c:v>24.000000000000071</c:v>
                    </c:pt>
                    <c:pt idx="243">
                      <c:v>24.100000000000072</c:v>
                    </c:pt>
                    <c:pt idx="244">
                      <c:v>24.200000000000074</c:v>
                    </c:pt>
                    <c:pt idx="245">
                      <c:v>24.300000000000075</c:v>
                    </c:pt>
                    <c:pt idx="246">
                      <c:v>24.400000000000077</c:v>
                    </c:pt>
                    <c:pt idx="247">
                      <c:v>24.500000000000078</c:v>
                    </c:pt>
                    <c:pt idx="248">
                      <c:v>24.60000000000008</c:v>
                    </c:pt>
                    <c:pt idx="249">
                      <c:v>24.700000000000081</c:v>
                    </c:pt>
                    <c:pt idx="250">
                      <c:v>24.800000000000082</c:v>
                    </c:pt>
                    <c:pt idx="251">
                      <c:v>24.900000000000084</c:v>
                    </c:pt>
                    <c:pt idx="252">
                      <c:v>25.000000000000085</c:v>
                    </c:pt>
                    <c:pt idx="253">
                      <c:v>25.100000000000087</c:v>
                    </c:pt>
                    <c:pt idx="254">
                      <c:v>25.200000000000088</c:v>
                    </c:pt>
                    <c:pt idx="255">
                      <c:v>25.30000000000009</c:v>
                    </c:pt>
                    <c:pt idx="256">
                      <c:v>25.400000000000091</c:v>
                    </c:pt>
                    <c:pt idx="257">
                      <c:v>25.500000000000092</c:v>
                    </c:pt>
                    <c:pt idx="258">
                      <c:v>25.600000000000094</c:v>
                    </c:pt>
                    <c:pt idx="259">
                      <c:v>25.700000000000095</c:v>
                    </c:pt>
                    <c:pt idx="260">
                      <c:v>25.800000000000097</c:v>
                    </c:pt>
                    <c:pt idx="261">
                      <c:v>25.900000000000098</c:v>
                    </c:pt>
                    <c:pt idx="262">
                      <c:v>26.000000000000099</c:v>
                    </c:pt>
                    <c:pt idx="263">
                      <c:v>26.100000000000101</c:v>
                    </c:pt>
                    <c:pt idx="264">
                      <c:v>26.200000000000102</c:v>
                    </c:pt>
                    <c:pt idx="265">
                      <c:v>26.300000000000104</c:v>
                    </c:pt>
                    <c:pt idx="266">
                      <c:v>26.400000000000105</c:v>
                    </c:pt>
                    <c:pt idx="267">
                      <c:v>26.500000000000107</c:v>
                    </c:pt>
                    <c:pt idx="268">
                      <c:v>26.600000000000108</c:v>
                    </c:pt>
                    <c:pt idx="269">
                      <c:v>26.700000000000109</c:v>
                    </c:pt>
                    <c:pt idx="270">
                      <c:v>26.800000000000111</c:v>
                    </c:pt>
                    <c:pt idx="271">
                      <c:v>26.900000000000112</c:v>
                    </c:pt>
                    <c:pt idx="272">
                      <c:v>27.000000000000114</c:v>
                    </c:pt>
                    <c:pt idx="273">
                      <c:v>27.100000000000115</c:v>
                    </c:pt>
                    <c:pt idx="274">
                      <c:v>27.200000000000117</c:v>
                    </c:pt>
                    <c:pt idx="275">
                      <c:v>27.300000000000118</c:v>
                    </c:pt>
                    <c:pt idx="276">
                      <c:v>27.400000000000119</c:v>
                    </c:pt>
                    <c:pt idx="277">
                      <c:v>27.500000000000121</c:v>
                    </c:pt>
                    <c:pt idx="278">
                      <c:v>27.600000000000122</c:v>
                    </c:pt>
                    <c:pt idx="279">
                      <c:v>27.700000000000124</c:v>
                    </c:pt>
                    <c:pt idx="280">
                      <c:v>27.800000000000125</c:v>
                    </c:pt>
                    <c:pt idx="281">
                      <c:v>27.900000000000126</c:v>
                    </c:pt>
                    <c:pt idx="282">
                      <c:v>28.000000000000128</c:v>
                    </c:pt>
                    <c:pt idx="283">
                      <c:v>28.100000000000129</c:v>
                    </c:pt>
                    <c:pt idx="284">
                      <c:v>28.200000000000131</c:v>
                    </c:pt>
                    <c:pt idx="285">
                      <c:v>28.300000000000132</c:v>
                    </c:pt>
                    <c:pt idx="286">
                      <c:v>28.400000000000134</c:v>
                    </c:pt>
                    <c:pt idx="287">
                      <c:v>28.500000000000135</c:v>
                    </c:pt>
                    <c:pt idx="288">
                      <c:v>28.600000000000136</c:v>
                    </c:pt>
                    <c:pt idx="289">
                      <c:v>28.700000000000138</c:v>
                    </c:pt>
                    <c:pt idx="290">
                      <c:v>28.800000000000139</c:v>
                    </c:pt>
                    <c:pt idx="291">
                      <c:v>28.900000000000141</c:v>
                    </c:pt>
                    <c:pt idx="292">
                      <c:v>29.000000000000142</c:v>
                    </c:pt>
                    <c:pt idx="293">
                      <c:v>29.100000000000144</c:v>
                    </c:pt>
                    <c:pt idx="294">
                      <c:v>29.200000000000145</c:v>
                    </c:pt>
                    <c:pt idx="295">
                      <c:v>29.300000000000146</c:v>
                    </c:pt>
                    <c:pt idx="296">
                      <c:v>29.400000000000148</c:v>
                    </c:pt>
                    <c:pt idx="297">
                      <c:v>29.500000000000149</c:v>
                    </c:pt>
                    <c:pt idx="298">
                      <c:v>29.600000000000151</c:v>
                    </c:pt>
                    <c:pt idx="299">
                      <c:v>29.700000000000152</c:v>
                    </c:pt>
                    <c:pt idx="300">
                      <c:v>29.800000000000153</c:v>
                    </c:pt>
                    <c:pt idx="301">
                      <c:v>29.900000000000155</c:v>
                    </c:pt>
                    <c:pt idx="302">
                      <c:v>30.000000000000156</c:v>
                    </c:pt>
                    <c:pt idx="303">
                      <c:v>30.100000000000158</c:v>
                    </c:pt>
                    <c:pt idx="304">
                      <c:v>30.200000000000159</c:v>
                    </c:pt>
                    <c:pt idx="305">
                      <c:v>30.300000000000161</c:v>
                    </c:pt>
                    <c:pt idx="306">
                      <c:v>30.400000000000162</c:v>
                    </c:pt>
                    <c:pt idx="307">
                      <c:v>30.500000000000163</c:v>
                    </c:pt>
                    <c:pt idx="308">
                      <c:v>30.600000000000165</c:v>
                    </c:pt>
                    <c:pt idx="309">
                      <c:v>30.700000000000166</c:v>
                    </c:pt>
                    <c:pt idx="310">
                      <c:v>30.800000000000168</c:v>
                    </c:pt>
                    <c:pt idx="311">
                      <c:v>30.900000000000169</c:v>
                    </c:pt>
                    <c:pt idx="312">
                      <c:v>31.000000000000171</c:v>
                    </c:pt>
                    <c:pt idx="313">
                      <c:v>31.100000000000172</c:v>
                    </c:pt>
                    <c:pt idx="314">
                      <c:v>31.200000000000173</c:v>
                    </c:pt>
                    <c:pt idx="315">
                      <c:v>31.300000000000175</c:v>
                    </c:pt>
                    <c:pt idx="316">
                      <c:v>31.400000000000176</c:v>
                    </c:pt>
                    <c:pt idx="317">
                      <c:v>31.500000000000178</c:v>
                    </c:pt>
                    <c:pt idx="318">
                      <c:v>31.600000000000179</c:v>
                    </c:pt>
                    <c:pt idx="319">
                      <c:v>31.70000000000018</c:v>
                    </c:pt>
                    <c:pt idx="320">
                      <c:v>31.800000000000182</c:v>
                    </c:pt>
                    <c:pt idx="321">
                      <c:v>31.900000000000183</c:v>
                    </c:pt>
                    <c:pt idx="322">
                      <c:v>32</c:v>
                    </c:pt>
                  </c:numLit>
                </c:xVal>
                <c:yVal>
                  <c:numLit>
                    <c:formatCode>General</c:formatCode>
                    <c:ptCount val="323"/>
                  </c:numLit>
                </c:yVal>
                <c:smooth val="1"/>
                <c:extLst>
                  <c:ext xmlns:c16="http://schemas.microsoft.com/office/drawing/2014/chart" uri="{C3380CC4-5D6E-409C-BE32-E72D297353CC}">
                    <c16:uniqueId val="{00000002-E236-4B9B-96FD-1859B28E0564}"/>
                  </c:ext>
                </c:extLst>
              </c15:ser>
            </c15:filteredScatterSeries>
          </c:ext>
        </c:extLst>
      </c:scatterChart>
      <c:valAx>
        <c:axId val="143225216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6398507648598519"/>
              <c:y val="0.9454561256020107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227136"/>
        <c:crosses val="autoZero"/>
        <c:crossBetween val="midCat"/>
        <c:majorUnit val="1"/>
        <c:minorUnit val="0.5"/>
      </c:valAx>
      <c:valAx>
        <c:axId val="143227136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Normalspannung 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 [N/mm</a:t>
                </a:r>
                <a:r>
                  <a:rPr lang="de-DE" sz="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225216"/>
        <c:crosses val="autoZero"/>
        <c:crossBetween val="midCat"/>
      </c:valAx>
    </c:plotArea>
    <c:plotVisOnly val="0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Normalspannungen</a:t>
            </a:r>
          </a:p>
        </c:rich>
      </c:tx>
      <c:layout>
        <c:manualLayout>
          <c:xMode val="edge"/>
          <c:yMode val="edge"/>
          <c:x val="0.41827373501869297"/>
          <c:y val="4.34697947678035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320174537506E-2"/>
          <c:y val="0.15412471123754962"/>
          <c:w val="0.89732953102938839"/>
          <c:h val="0.7288937291234430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Schotteroberbau!$R$6</c:f>
              <c:strCache>
                <c:ptCount val="1"/>
                <c:pt idx="0">
                  <c:v>sd Reisezüge</c:v>
                </c:pt>
              </c:strCache>
            </c:strRef>
          </c:tx>
          <c:spPr>
            <a:ln w="15875">
              <a:solidFill>
                <a:schemeClr val="accent2"/>
              </a:solidFill>
            </a:ln>
          </c:spPr>
          <c:marker>
            <c:symbol val="none"/>
          </c:marker>
          <c:dPt>
            <c:idx val="223"/>
            <c:bubble3D val="0"/>
            <c:extLst>
              <c:ext xmlns:c16="http://schemas.microsoft.com/office/drawing/2014/chart" uri="{C3380CC4-5D6E-409C-BE32-E72D297353CC}">
                <c16:uniqueId val="{00000000-1219-4CCE-B9E9-964EC93606A9}"/>
              </c:ext>
            </c:extLst>
          </c:dPt>
          <c:xVal>
            <c:numRef>
              <c:f>Schotteroberbau!$M$8:$M$338</c:f>
              <c:numCache>
                <c:formatCode>General</c:formatCode>
                <c:ptCount val="3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5">
                  <c:v>11.899999999999974</c:v>
                </c:pt>
                <c:pt idx="130">
                  <c:v>11.999999999999973</c:v>
                </c:pt>
                <c:pt idx="131">
                  <c:v>12.099999999999973</c:v>
                </c:pt>
                <c:pt idx="132">
                  <c:v>12.199999999999973</c:v>
                </c:pt>
                <c:pt idx="133">
                  <c:v>12.299999999999972</c:v>
                </c:pt>
                <c:pt idx="134">
                  <c:v>12.399999999999972</c:v>
                </c:pt>
                <c:pt idx="135">
                  <c:v>12.499999999999972</c:v>
                </c:pt>
                <c:pt idx="136">
                  <c:v>12.599999999999971</c:v>
                </c:pt>
                <c:pt idx="137">
                  <c:v>12.699999999999971</c:v>
                </c:pt>
                <c:pt idx="138">
                  <c:v>12.799999999999971</c:v>
                </c:pt>
                <c:pt idx="139">
                  <c:v>12.89999999999997</c:v>
                </c:pt>
                <c:pt idx="140">
                  <c:v>12.99999999999997</c:v>
                </c:pt>
                <c:pt idx="141">
                  <c:v>13.099999999999969</c:v>
                </c:pt>
                <c:pt idx="142">
                  <c:v>13.199999999999969</c:v>
                </c:pt>
                <c:pt idx="143">
                  <c:v>13.299999999999969</c:v>
                </c:pt>
                <c:pt idx="144">
                  <c:v>13.399999999999968</c:v>
                </c:pt>
                <c:pt idx="145">
                  <c:v>13.499999999999968</c:v>
                </c:pt>
                <c:pt idx="146">
                  <c:v>13.599999999999968</c:v>
                </c:pt>
                <c:pt idx="147">
                  <c:v>13.699999999999967</c:v>
                </c:pt>
                <c:pt idx="148">
                  <c:v>13.799999999999967</c:v>
                </c:pt>
                <c:pt idx="149">
                  <c:v>13.899999999999967</c:v>
                </c:pt>
                <c:pt idx="150">
                  <c:v>13.999999999999966</c:v>
                </c:pt>
                <c:pt idx="151">
                  <c:v>14.099999999999966</c:v>
                </c:pt>
                <c:pt idx="152">
                  <c:v>14.199999999999966</c:v>
                </c:pt>
                <c:pt idx="153">
                  <c:v>14.299999999999965</c:v>
                </c:pt>
                <c:pt idx="154">
                  <c:v>14.399999999999965</c:v>
                </c:pt>
                <c:pt idx="155">
                  <c:v>14.499999999999964</c:v>
                </c:pt>
                <c:pt idx="156">
                  <c:v>14.599999999999964</c:v>
                </c:pt>
                <c:pt idx="157">
                  <c:v>14.699999999999964</c:v>
                </c:pt>
                <c:pt idx="158">
                  <c:v>14.799999999999963</c:v>
                </c:pt>
                <c:pt idx="159">
                  <c:v>14.899999999999963</c:v>
                </c:pt>
                <c:pt idx="160">
                  <c:v>14.999999999999963</c:v>
                </c:pt>
                <c:pt idx="161">
                  <c:v>15.099999999999962</c:v>
                </c:pt>
                <c:pt idx="162">
                  <c:v>15.199999999999962</c:v>
                </c:pt>
                <c:pt idx="163">
                  <c:v>15.299999999999962</c:v>
                </c:pt>
                <c:pt idx="164">
                  <c:v>15.399999999999961</c:v>
                </c:pt>
                <c:pt idx="165">
                  <c:v>15.499999999999961</c:v>
                </c:pt>
                <c:pt idx="166">
                  <c:v>15.599999999999961</c:v>
                </c:pt>
                <c:pt idx="167">
                  <c:v>15.69999999999996</c:v>
                </c:pt>
                <c:pt idx="168">
                  <c:v>15.79999999999996</c:v>
                </c:pt>
                <c:pt idx="169">
                  <c:v>15.899999999999959</c:v>
                </c:pt>
                <c:pt idx="170">
                  <c:v>15.999999999999959</c:v>
                </c:pt>
                <c:pt idx="171">
                  <c:v>16.099999999999959</c:v>
                </c:pt>
                <c:pt idx="172">
                  <c:v>16.19999999999996</c:v>
                </c:pt>
                <c:pt idx="173">
                  <c:v>16.299999999999962</c:v>
                </c:pt>
                <c:pt idx="174">
                  <c:v>16.399999999999963</c:v>
                </c:pt>
                <c:pt idx="175">
                  <c:v>16.499999999999964</c:v>
                </c:pt>
                <c:pt idx="176">
                  <c:v>16.599999999999966</c:v>
                </c:pt>
                <c:pt idx="177">
                  <c:v>16.699999999999967</c:v>
                </c:pt>
                <c:pt idx="178">
                  <c:v>16.799999999999969</c:v>
                </c:pt>
                <c:pt idx="179">
                  <c:v>16.89999999999997</c:v>
                </c:pt>
                <c:pt idx="180">
                  <c:v>16.999999999999972</c:v>
                </c:pt>
                <c:pt idx="181">
                  <c:v>17.099999999999973</c:v>
                </c:pt>
                <c:pt idx="182">
                  <c:v>17.199999999999974</c:v>
                </c:pt>
                <c:pt idx="183">
                  <c:v>17.299999999999976</c:v>
                </c:pt>
                <c:pt idx="184">
                  <c:v>17.399999999999977</c:v>
                </c:pt>
                <c:pt idx="185">
                  <c:v>17.499999999999979</c:v>
                </c:pt>
                <c:pt idx="186">
                  <c:v>17.59999999999998</c:v>
                </c:pt>
                <c:pt idx="187">
                  <c:v>17.699999999999982</c:v>
                </c:pt>
                <c:pt idx="188">
                  <c:v>17.799999999999983</c:v>
                </c:pt>
                <c:pt idx="189">
                  <c:v>17.899999999999984</c:v>
                </c:pt>
                <c:pt idx="190">
                  <c:v>17.999999999999986</c:v>
                </c:pt>
                <c:pt idx="191">
                  <c:v>18.099999999999987</c:v>
                </c:pt>
                <c:pt idx="192">
                  <c:v>18.199999999999989</c:v>
                </c:pt>
                <c:pt idx="193">
                  <c:v>18.29999999999999</c:v>
                </c:pt>
                <c:pt idx="194">
                  <c:v>18.399999999999991</c:v>
                </c:pt>
                <c:pt idx="195">
                  <c:v>18.499999999999993</c:v>
                </c:pt>
                <c:pt idx="196">
                  <c:v>18.599999999999994</c:v>
                </c:pt>
                <c:pt idx="197">
                  <c:v>18.699999999999996</c:v>
                </c:pt>
                <c:pt idx="198">
                  <c:v>18.799999999999997</c:v>
                </c:pt>
                <c:pt idx="199">
                  <c:v>18.899999999999999</c:v>
                </c:pt>
                <c:pt idx="200">
                  <c:v>19</c:v>
                </c:pt>
                <c:pt idx="201">
                  <c:v>19.100000000000001</c:v>
                </c:pt>
                <c:pt idx="202">
                  <c:v>19.200000000000003</c:v>
                </c:pt>
                <c:pt idx="203">
                  <c:v>19.300000000000004</c:v>
                </c:pt>
                <c:pt idx="204">
                  <c:v>19.400000000000006</c:v>
                </c:pt>
                <c:pt idx="205">
                  <c:v>19.500000000000007</c:v>
                </c:pt>
                <c:pt idx="206">
                  <c:v>19.600000000000009</c:v>
                </c:pt>
                <c:pt idx="207">
                  <c:v>19.70000000000001</c:v>
                </c:pt>
                <c:pt idx="208">
                  <c:v>19.800000000000011</c:v>
                </c:pt>
                <c:pt idx="209">
                  <c:v>19.900000000000013</c:v>
                </c:pt>
                <c:pt idx="210">
                  <c:v>20.000000000000014</c:v>
                </c:pt>
                <c:pt idx="211">
                  <c:v>20.100000000000016</c:v>
                </c:pt>
                <c:pt idx="212">
                  <c:v>20.200000000000017</c:v>
                </c:pt>
                <c:pt idx="213">
                  <c:v>20.300000000000018</c:v>
                </c:pt>
                <c:pt idx="214">
                  <c:v>20.40000000000002</c:v>
                </c:pt>
                <c:pt idx="215">
                  <c:v>20.500000000000021</c:v>
                </c:pt>
                <c:pt idx="216">
                  <c:v>20.600000000000023</c:v>
                </c:pt>
                <c:pt idx="217">
                  <c:v>20.700000000000024</c:v>
                </c:pt>
                <c:pt idx="218">
                  <c:v>20.800000000000026</c:v>
                </c:pt>
                <c:pt idx="219">
                  <c:v>20.900000000000027</c:v>
                </c:pt>
                <c:pt idx="220">
                  <c:v>21.000000000000028</c:v>
                </c:pt>
                <c:pt idx="221">
                  <c:v>21.10000000000003</c:v>
                </c:pt>
                <c:pt idx="222">
                  <c:v>21.200000000000031</c:v>
                </c:pt>
                <c:pt idx="223">
                  <c:v>21.300000000000033</c:v>
                </c:pt>
                <c:pt idx="224">
                  <c:v>21.400000000000034</c:v>
                </c:pt>
                <c:pt idx="225">
                  <c:v>21.500000000000036</c:v>
                </c:pt>
                <c:pt idx="226">
                  <c:v>21.600000000000037</c:v>
                </c:pt>
                <c:pt idx="227">
                  <c:v>21.700000000000038</c:v>
                </c:pt>
                <c:pt idx="228">
                  <c:v>21.80000000000004</c:v>
                </c:pt>
                <c:pt idx="229">
                  <c:v>21.900000000000041</c:v>
                </c:pt>
                <c:pt idx="230">
                  <c:v>22.000000000000043</c:v>
                </c:pt>
                <c:pt idx="231">
                  <c:v>22.100000000000044</c:v>
                </c:pt>
                <c:pt idx="232">
                  <c:v>22.200000000000045</c:v>
                </c:pt>
                <c:pt idx="233">
                  <c:v>22.300000000000047</c:v>
                </c:pt>
                <c:pt idx="234">
                  <c:v>22.400000000000048</c:v>
                </c:pt>
                <c:pt idx="235">
                  <c:v>22.50000000000005</c:v>
                </c:pt>
                <c:pt idx="236">
                  <c:v>22.600000000000051</c:v>
                </c:pt>
                <c:pt idx="237">
                  <c:v>22.700000000000053</c:v>
                </c:pt>
                <c:pt idx="238">
                  <c:v>22.800000000000054</c:v>
                </c:pt>
                <c:pt idx="239">
                  <c:v>22.900000000000055</c:v>
                </c:pt>
                <c:pt idx="240">
                  <c:v>23.000000000000057</c:v>
                </c:pt>
                <c:pt idx="241">
                  <c:v>23.100000000000058</c:v>
                </c:pt>
                <c:pt idx="242">
                  <c:v>23.20000000000006</c:v>
                </c:pt>
                <c:pt idx="243">
                  <c:v>23.300000000000061</c:v>
                </c:pt>
                <c:pt idx="244">
                  <c:v>23.400000000000063</c:v>
                </c:pt>
                <c:pt idx="245">
                  <c:v>23.500000000000064</c:v>
                </c:pt>
                <c:pt idx="246">
                  <c:v>23.600000000000065</c:v>
                </c:pt>
                <c:pt idx="247">
                  <c:v>23.700000000000067</c:v>
                </c:pt>
                <c:pt idx="248">
                  <c:v>23.800000000000068</c:v>
                </c:pt>
                <c:pt idx="249">
                  <c:v>23.90000000000007</c:v>
                </c:pt>
                <c:pt idx="250">
                  <c:v>24.000000000000071</c:v>
                </c:pt>
                <c:pt idx="251">
                  <c:v>24.100000000000072</c:v>
                </c:pt>
                <c:pt idx="252">
                  <c:v>24.200000000000074</c:v>
                </c:pt>
                <c:pt idx="253">
                  <c:v>24.300000000000075</c:v>
                </c:pt>
                <c:pt idx="254">
                  <c:v>24.400000000000077</c:v>
                </c:pt>
                <c:pt idx="255">
                  <c:v>24.500000000000078</c:v>
                </c:pt>
                <c:pt idx="256">
                  <c:v>24.60000000000008</c:v>
                </c:pt>
                <c:pt idx="257">
                  <c:v>24.700000000000081</c:v>
                </c:pt>
                <c:pt idx="258">
                  <c:v>24.800000000000082</c:v>
                </c:pt>
                <c:pt idx="259">
                  <c:v>24.900000000000084</c:v>
                </c:pt>
                <c:pt idx="260">
                  <c:v>25.000000000000085</c:v>
                </c:pt>
                <c:pt idx="261">
                  <c:v>25.100000000000087</c:v>
                </c:pt>
                <c:pt idx="262">
                  <c:v>25.200000000000088</c:v>
                </c:pt>
                <c:pt idx="263">
                  <c:v>25.30000000000009</c:v>
                </c:pt>
                <c:pt idx="264">
                  <c:v>25.400000000000091</c:v>
                </c:pt>
                <c:pt idx="265">
                  <c:v>25.500000000000092</c:v>
                </c:pt>
                <c:pt idx="266">
                  <c:v>25.600000000000094</c:v>
                </c:pt>
                <c:pt idx="267">
                  <c:v>25.700000000000095</c:v>
                </c:pt>
                <c:pt idx="268">
                  <c:v>25.800000000000097</c:v>
                </c:pt>
                <c:pt idx="269">
                  <c:v>25.900000000000098</c:v>
                </c:pt>
                <c:pt idx="270">
                  <c:v>26.000000000000099</c:v>
                </c:pt>
                <c:pt idx="271">
                  <c:v>26.100000000000101</c:v>
                </c:pt>
                <c:pt idx="272">
                  <c:v>26.200000000000102</c:v>
                </c:pt>
                <c:pt idx="273">
                  <c:v>26.300000000000104</c:v>
                </c:pt>
                <c:pt idx="274">
                  <c:v>26.400000000000105</c:v>
                </c:pt>
                <c:pt idx="275">
                  <c:v>26.500000000000107</c:v>
                </c:pt>
                <c:pt idx="276">
                  <c:v>26.600000000000108</c:v>
                </c:pt>
                <c:pt idx="277">
                  <c:v>26.700000000000109</c:v>
                </c:pt>
                <c:pt idx="278">
                  <c:v>26.800000000000111</c:v>
                </c:pt>
                <c:pt idx="279">
                  <c:v>26.900000000000112</c:v>
                </c:pt>
                <c:pt idx="280">
                  <c:v>27.000000000000114</c:v>
                </c:pt>
                <c:pt idx="281">
                  <c:v>27.100000000000115</c:v>
                </c:pt>
                <c:pt idx="282">
                  <c:v>27.200000000000117</c:v>
                </c:pt>
                <c:pt idx="283">
                  <c:v>27.300000000000118</c:v>
                </c:pt>
                <c:pt idx="284">
                  <c:v>27.400000000000119</c:v>
                </c:pt>
                <c:pt idx="285">
                  <c:v>27.500000000000121</c:v>
                </c:pt>
                <c:pt idx="286">
                  <c:v>27.600000000000122</c:v>
                </c:pt>
                <c:pt idx="287">
                  <c:v>27.700000000000124</c:v>
                </c:pt>
                <c:pt idx="288">
                  <c:v>27.800000000000125</c:v>
                </c:pt>
                <c:pt idx="289">
                  <c:v>27.900000000000126</c:v>
                </c:pt>
                <c:pt idx="290">
                  <c:v>28.000000000000128</c:v>
                </c:pt>
                <c:pt idx="291">
                  <c:v>28.100000000000129</c:v>
                </c:pt>
                <c:pt idx="292">
                  <c:v>28.200000000000131</c:v>
                </c:pt>
                <c:pt idx="293">
                  <c:v>28.300000000000132</c:v>
                </c:pt>
                <c:pt idx="294">
                  <c:v>28.400000000000134</c:v>
                </c:pt>
                <c:pt idx="295">
                  <c:v>28.500000000000135</c:v>
                </c:pt>
                <c:pt idx="296">
                  <c:v>28.600000000000136</c:v>
                </c:pt>
                <c:pt idx="297">
                  <c:v>28.700000000000138</c:v>
                </c:pt>
                <c:pt idx="298">
                  <c:v>28.800000000000139</c:v>
                </c:pt>
                <c:pt idx="299">
                  <c:v>28.900000000000141</c:v>
                </c:pt>
                <c:pt idx="300">
                  <c:v>29.000000000000142</c:v>
                </c:pt>
                <c:pt idx="301">
                  <c:v>29.100000000000144</c:v>
                </c:pt>
                <c:pt idx="302">
                  <c:v>29.200000000000145</c:v>
                </c:pt>
                <c:pt idx="303">
                  <c:v>29.300000000000146</c:v>
                </c:pt>
                <c:pt idx="304">
                  <c:v>29.400000000000148</c:v>
                </c:pt>
                <c:pt idx="305">
                  <c:v>29.500000000000149</c:v>
                </c:pt>
                <c:pt idx="306">
                  <c:v>29.600000000000151</c:v>
                </c:pt>
                <c:pt idx="307">
                  <c:v>29.700000000000152</c:v>
                </c:pt>
                <c:pt idx="308">
                  <c:v>29.800000000000153</c:v>
                </c:pt>
                <c:pt idx="309">
                  <c:v>29.900000000000155</c:v>
                </c:pt>
                <c:pt idx="310">
                  <c:v>30.000000000000156</c:v>
                </c:pt>
                <c:pt idx="311">
                  <c:v>30.100000000000158</c:v>
                </c:pt>
                <c:pt idx="312">
                  <c:v>30.200000000000159</c:v>
                </c:pt>
                <c:pt idx="313">
                  <c:v>30.300000000000161</c:v>
                </c:pt>
                <c:pt idx="314">
                  <c:v>30.400000000000162</c:v>
                </c:pt>
                <c:pt idx="315">
                  <c:v>30.500000000000163</c:v>
                </c:pt>
                <c:pt idx="316">
                  <c:v>30.600000000000165</c:v>
                </c:pt>
                <c:pt idx="317">
                  <c:v>30.700000000000166</c:v>
                </c:pt>
                <c:pt idx="318">
                  <c:v>30.800000000000168</c:v>
                </c:pt>
                <c:pt idx="319">
                  <c:v>30.900000000000169</c:v>
                </c:pt>
                <c:pt idx="320">
                  <c:v>31.000000000000171</c:v>
                </c:pt>
                <c:pt idx="321">
                  <c:v>31.100000000000172</c:v>
                </c:pt>
                <c:pt idx="322">
                  <c:v>31.200000000000173</c:v>
                </c:pt>
                <c:pt idx="323">
                  <c:v>31.300000000000175</c:v>
                </c:pt>
                <c:pt idx="324">
                  <c:v>31.400000000000176</c:v>
                </c:pt>
                <c:pt idx="325">
                  <c:v>31.500000000000178</c:v>
                </c:pt>
                <c:pt idx="326">
                  <c:v>31.600000000000179</c:v>
                </c:pt>
                <c:pt idx="327">
                  <c:v>31.70000000000018</c:v>
                </c:pt>
                <c:pt idx="328">
                  <c:v>31.800000000000182</c:v>
                </c:pt>
                <c:pt idx="329">
                  <c:v>31.900000000000183</c:v>
                </c:pt>
                <c:pt idx="330">
                  <c:v>32</c:v>
                </c:pt>
              </c:numCache>
            </c:numRef>
          </c:xVal>
          <c:yVal>
            <c:numRef>
              <c:f>Schotteroberbau!$R$8:$R$338</c:f>
              <c:numCache>
                <c:formatCode>0.00</c:formatCode>
                <c:ptCount val="331"/>
                <c:pt idx="0">
                  <c:v>9.5695886039556709E-7</c:v>
                </c:pt>
                <c:pt idx="1">
                  <c:v>1.1554720199001028E-6</c:v>
                </c:pt>
                <c:pt idx="2">
                  <c:v>1.3694303553774324E-6</c:v>
                </c:pt>
                <c:pt idx="3">
                  <c:v>1.5956340260985262E-6</c:v>
                </c:pt>
                <c:pt idx="4">
                  <c:v>9.5695886039556709E-7</c:v>
                </c:pt>
                <c:pt idx="5">
                  <c:v>1.8295389530457584E-6</c:v>
                </c:pt>
                <c:pt idx="6">
                  <c:v>2.0650358492170768E-6</c:v>
                </c:pt>
                <c:pt idx="7">
                  <c:v>2.2942219572831469E-6</c:v>
                </c:pt>
                <c:pt idx="8">
                  <c:v>2.5071715198625201E-6</c:v>
                </c:pt>
                <c:pt idx="9">
                  <c:v>9.5695886039556709E-7</c:v>
                </c:pt>
                <c:pt idx="10">
                  <c:v>2.6917127657439872E-6</c:v>
                </c:pt>
                <c:pt idx="11">
                  <c:v>2.8332211771515502E-6</c:v>
                </c:pt>
                <c:pt idx="12">
                  <c:v>2.9144410019023941E-6</c:v>
                </c:pt>
                <c:pt idx="13">
                  <c:v>2.915349373737687E-6</c:v>
                </c:pt>
                <c:pt idx="14">
                  <c:v>2.8130799761322185E-6</c:v>
                </c:pt>
                <c:pt idx="15">
                  <c:v>2.5819258873302605E-6</c:v>
                </c:pt>
                <c:pt idx="16">
                  <c:v>2.1934440184088855E-6</c:v>
                </c:pt>
                <c:pt idx="17">
                  <c:v>1.6166863237739507E-6</c:v>
                </c:pt>
                <c:pt idx="18">
                  <c:v>8.1858562462099208E-7</c:v>
                </c:pt>
                <c:pt idx="19">
                  <c:v>-2.3547368414809508E-7</c:v>
                </c:pt>
                <c:pt idx="20">
                  <c:v>-1.5808677262086308E-6</c:v>
                </c:pt>
                <c:pt idx="21">
                  <c:v>-3.25269423575572E-6</c:v>
                </c:pt>
                <c:pt idx="22">
                  <c:v>-5.284448145149322E-6</c:v>
                </c:pt>
                <c:pt idx="23">
                  <c:v>-7.7063774838061172E-6</c:v>
                </c:pt>
                <c:pt idx="24">
                  <c:v>-1.0543487027081364E-5</c:v>
                </c:pt>
                <c:pt idx="25">
                  <c:v>-1.3813160373856493E-5</c:v>
                </c:pt>
                <c:pt idx="26">
                  <c:v>-1.7522376333020508E-5</c:v>
                </c:pt>
                <c:pt idx="27">
                  <c:v>-2.1664503035150445E-5</c:v>
                </c:pt>
                <c:pt idx="28">
                  <c:v>-2.621566345286159E-5</c:v>
                </c:pt>
                <c:pt idx="29">
                  <c:v>-3.113067942372878E-5</c:v>
                </c:pt>
                <c:pt idx="30">
                  <c:v>-3.6338618241255509E-5</c:v>
                </c:pt>
                <c:pt idx="31">
                  <c:v>-4.1737986822458964E-5</c:v>
                </c:pt>
                <c:pt idx="32">
                  <c:v>-4.7191643761350613E-5</c:v>
                </c:pt>
                <c:pt idx="33">
                  <c:v>-5.2521529577222719E-5</c:v>
                </c:pt>
                <c:pt idx="34">
                  <c:v>-5.7503350436818136E-5</c:v>
                </c:pt>
                <c:pt idx="35">
                  <c:v>-6.1861390742630996E-5</c:v>
                </c:pt>
                <c:pt idx="36">
                  <c:v>-6.5263675274827038E-5</c:v>
                </c:pt>
                <c:pt idx="37">
                  <c:v>-6.7317751917864431E-5</c:v>
                </c:pt>
                <c:pt idx="38">
                  <c:v>-6.7567421044009389E-5</c:v>
                </c:pt>
                <c:pt idx="39">
                  <c:v>-6.5490796747318252E-5</c:v>
                </c:pt>
                <c:pt idx="40">
                  <c:v>-6.0500147385787053E-5</c:v>
                </c:pt>
                <c:pt idx="41">
                  <c:v>-5.1944026980667018E-5</c:v>
                </c:pt>
                <c:pt idx="42">
                  <c:v>-3.911227318597341E-5</c:v>
                </c:pt>
                <c:pt idx="43">
                  <c:v>-2.124450952212083E-5</c:v>
                </c:pt>
                <c:pt idx="44">
                  <c:v>2.4571534543827825E-6</c:v>
                </c:pt>
                <c:pt idx="45">
                  <c:v>3.2810474842125532E-5</c:v>
                </c:pt>
                <c:pt idx="46">
                  <c:v>7.0629718783061436E-5</c:v>
                </c:pt>
                <c:pt idx="47">
                  <c:v>1.1669577084357213E-4</c:v>
                </c:pt>
                <c:pt idx="48">
                  <c:v>1.7171894217449138E-4</c:v>
                </c:pt>
                <c:pt idx="49">
                  <c:v>2.362937021465868E-4</c:v>
                </c:pt>
                <c:pt idx="50">
                  <c:v>3.1084465064953708E-4</c:v>
                </c:pt>
                <c:pt idx="51">
                  <c:v>3.9556315621505856E-4</c:v>
                </c:pt>
                <c:pt idx="52">
                  <c:v>4.9033425414606556E-4</c:v>
                </c:pt>
                <c:pt idx="53">
                  <c:v>5.9465362902498054E-4</c:v>
                </c:pt>
                <c:pt idx="54">
                  <c:v>7.0753480784454419E-4</c:v>
                </c:pt>
                <c:pt idx="55">
                  <c:v>8.274070732231238E-4</c:v>
                </c:pt>
                <c:pt idx="56">
                  <c:v>9.5200508026597704E-4</c:v>
                </c:pt>
                <c:pt idx="57">
                  <c:v>1.0782517346323429E-3</c:v>
                </c:pt>
                <c:pt idx="58">
                  <c:v>1.2021365713035807E-3</c:v>
                </c:pt>
                <c:pt idx="59">
                  <c:v>1.3185926699132951E-3</c:v>
                </c:pt>
                <c:pt idx="60">
                  <c:v>1.4213760575763862E-3</c:v>
                </c:pt>
                <c:pt idx="61">
                  <c:v>1.5029525852252815E-3</c:v>
                </c:pt>
                <c:pt idx="62">
                  <c:v>1.554398415920767E-3</c:v>
                </c:pt>
                <c:pt idx="63">
                  <c:v>1.5653215259387536E-3</c:v>
                </c:pt>
                <c:pt idx="64">
                  <c:v>1.5238129780949185E-3</c:v>
                </c:pt>
                <c:pt idx="65">
                  <c:v>1.41643816093905E-3</c:v>
                </c:pt>
                <c:pt idx="66">
                  <c:v>1.2282796677146794E-3</c:v>
                </c:pt>
                <c:pt idx="67">
                  <c:v>9.4304497592326633E-4</c:v>
                </c:pt>
                <c:pt idx="68">
                  <c:v>5.4325353109844598E-4</c:v>
                </c:pt>
                <c:pt idx="69">
                  <c:v>1.0519173234809253E-5</c:v>
                </c:pt>
                <c:pt idx="70">
                  <c:v>-6.7405500681727017E-4</c:v>
                </c:pt>
                <c:pt idx="71">
                  <c:v>-1.5293514244227426E-3</c:v>
                </c:pt>
                <c:pt idx="72">
                  <c:v>-2.5735639358227314E-3</c:v>
                </c:pt>
                <c:pt idx="73">
                  <c:v>-3.8233565530263651E-3</c:v>
                </c:pt>
                <c:pt idx="74">
                  <c:v>-5.2928372437777557E-3</c:v>
                </c:pt>
                <c:pt idx="75">
                  <c:v>-6.9923306511158641E-3</c:v>
                </c:pt>
                <c:pt idx="76">
                  <c:v>-8.9269361051827721E-3</c:v>
                </c:pt>
                <c:pt idx="77">
                  <c:v>-1.109486104320956E-2</c:v>
                </c:pt>
                <c:pt idx="78">
                  <c:v>-1.3485525111853133E-2</c:v>
                </c:pt>
                <c:pt idx="79">
                  <c:v>-1.6077437018560421E-2</c:v>
                </c:pt>
                <c:pt idx="80">
                  <c:v>-1.8835854849052695E-2</c:v>
                </c:pt>
                <c:pt idx="81">
                  <c:v>-2.1710251297678729E-2</c:v>
                </c:pt>
                <c:pt idx="82">
                  <c:v>-2.463161827676209E-2</c:v>
                </c:pt>
                <c:pt idx="83">
                  <c:v>-2.7509660869251246E-2</c:v>
                </c:pt>
                <c:pt idx="84">
                  <c:v>-3.0229948720870686E-2</c:v>
                </c:pt>
                <c:pt idx="85">
                  <c:v>-3.2651113839067873E-2</c:v>
                </c:pt>
                <c:pt idx="86">
                  <c:v>-3.4602207414654793E-2</c:v>
                </c:pt>
                <c:pt idx="87">
                  <c:v>-3.588035465880908E-2</c:v>
                </c:pt>
                <c:pt idx="88">
                  <c:v>-3.6248875592857562E-2</c:v>
                </c:pt>
                <c:pt idx="89">
                  <c:v>-3.5436070944179145E-2</c:v>
                </c:pt>
                <c:pt idx="90">
                  <c:v>-3.3134905326844925E-2</c:v>
                </c:pt>
                <c:pt idx="91">
                  <c:v>-2.9003854062960008E-2</c:v>
                </c:pt>
                <c:pt idx="92">
                  <c:v>-2.2669214445036411E-2</c:v>
                </c:pt>
                <c:pt idx="93">
                  <c:v>-1.3729215804946269E-2</c:v>
                </c:pt>
                <c:pt idx="94">
                  <c:v>-1.7602940002350654E-3</c:v>
                </c:pt>
                <c:pt idx="95">
                  <c:v>1.3674076914371482E-2</c:v>
                </c:pt>
                <c:pt idx="96">
                  <c:v>3.3011582119446908E-2</c:v>
                </c:pt>
                <c:pt idx="97">
                  <c:v>5.6675866637396995E-2</c:v>
                </c:pt>
                <c:pt idx="98">
                  <c:v>8.505751260179209E-2</c:v>
                </c:pt>
                <c:pt idx="99">
                  <c:v>0.11849078106418591</c:v>
                </c:pt>
                <c:pt idx="100">
                  <c:v>0.15722573931135392</c:v>
                </c:pt>
                <c:pt idx="101">
                  <c:v>0.20139545062244055</c:v>
                </c:pt>
                <c:pt idx="102">
                  <c:v>0.25097798672402299</c:v>
                </c:pt>
                <c:pt idx="103">
                  <c:v>0.30575313872754151</c:v>
                </c:pt>
                <c:pt idx="104">
                  <c:v>0.36525385511352143</c:v>
                </c:pt>
                <c:pt idx="105">
                  <c:v>0.42871263053177233</c:v>
                </c:pt>
                <c:pt idx="106">
                  <c:v>0.49500331195272934</c:v>
                </c:pt>
                <c:pt idx="107">
                  <c:v>0.56257908394149481</c:v>
                </c:pt>
                <c:pt idx="108">
                  <c:v>0.62940774697640822</c:v>
                </c:pt>
                <c:pt idx="109">
                  <c:v>0.69290581548559493</c:v>
                </c:pt>
                <c:pt idx="110">
                  <c:v>0.74987343821370045</c:v>
                </c:pt>
                <c:pt idx="111">
                  <c:v>0.79643268373596876</c:v>
                </c:pt>
                <c:pt idx="112">
                  <c:v>0.82797233751378119</c:v>
                </c:pt>
                <c:pt idx="113">
                  <c:v>0.83910302043779605</c:v>
                </c:pt>
                <c:pt idx="114">
                  <c:v>0.82362715584118229</c:v>
                </c:pt>
                <c:pt idx="115">
                  <c:v>0.77452907225266932</c:v>
                </c:pt>
                <c:pt idx="116">
                  <c:v>0.68399131801917101</c:v>
                </c:pt>
                <c:pt idx="117">
                  <c:v>0.54344406149593449</c:v>
                </c:pt>
                <c:pt idx="118">
                  <c:v>0.3436552309569133</c:v>
                </c:pt>
                <c:pt idx="119">
                  <c:v>7.4869779163075204E-2</c:v>
                </c:pt>
                <c:pt idx="120">
                  <c:v>-0.27299290140834725</c:v>
                </c:pt>
                <c:pt idx="125">
                  <c:v>-0.71007388357901513</c:v>
                </c:pt>
                <c:pt idx="130">
                  <c:v>-1.2462320935946394</c:v>
                </c:pt>
                <c:pt idx="131">
                  <c:v>-1.8906142986240426</c:v>
                </c:pt>
                <c:pt idx="132">
                  <c:v>-2.6511281007175129</c:v>
                </c:pt>
                <c:pt idx="133">
                  <c:v>-3.5338090581723685</c:v>
                </c:pt>
                <c:pt idx="134">
                  <c:v>-4.5420742871080018</c:v>
                </c:pt>
                <c:pt idx="135">
                  <c:v>-5.6758567494679646</c:v>
                </c:pt>
                <c:pt idx="136">
                  <c:v>-6.9306170196057408</c:v>
                </c:pt>
                <c:pt idx="137">
                  <c:v>-8.2962327565959484</c:v>
                </c:pt>
                <c:pt idx="138">
                  <c:v>-9.7557705129706473</c:v>
                </c:pt>
                <c:pt idx="139">
                  <c:v>-11.284150001858549</c:v>
                </c:pt>
                <c:pt idx="140">
                  <c:v>-12.846717637932558</c:v>
                </c:pt>
                <c:pt idx="141">
                  <c:v>-14.397754167461782</c:v>
                </c:pt>
                <c:pt idx="142">
                  <c:v>-15.878950596734674</c:v>
                </c:pt>
                <c:pt idx="143">
                  <c:v>-17.217897479239394</c:v>
                </c:pt>
                <c:pt idx="144">
                  <c:v>-18.32664495955359</c:v>
                </c:pt>
                <c:pt idx="145">
                  <c:v>-19.100404780801181</c:v>
                </c:pt>
                <c:pt idx="146">
                  <c:v>-19.416480671169811</c:v>
                </c:pt>
                <c:pt idx="147">
                  <c:v>-19.133529991721176</c:v>
                </c:pt>
                <c:pt idx="148">
                  <c:v>-18.091277026032643</c:v>
                </c:pt>
                <c:pt idx="149">
                  <c:v>-16.110816494540515</c:v>
                </c:pt>
                <c:pt idx="150">
                  <c:v>-12.995664337166829</c:v>
                </c:pt>
                <c:pt idx="151">
                  <c:v>-8.5337309453802277</c:v>
                </c:pt>
                <c:pt idx="152">
                  <c:v>-2.5004091038764682</c:v>
                </c:pt>
                <c:pt idx="153">
                  <c:v>5.3370159843581799</c:v>
                </c:pt>
                <c:pt idx="154">
                  <c:v>15.213415162761285</c:v>
                </c:pt>
                <c:pt idx="155">
                  <c:v>27.358095154071425</c:v>
                </c:pt>
                <c:pt idx="156">
                  <c:v>41.985080815437414</c:v>
                </c:pt>
                <c:pt idx="157">
                  <c:v>59.281176649781877</c:v>
                </c:pt>
                <c:pt idx="158">
                  <c:v>79.391599748633325</c:v>
                </c:pt>
                <c:pt idx="159">
                  <c:v>78.070339488758208</c:v>
                </c:pt>
                <c:pt idx="160">
                  <c:v>55.328741319591536</c:v>
                </c:pt>
                <c:pt idx="161">
                  <c:v>35.436799934320106</c:v>
                </c:pt>
                <c:pt idx="162">
                  <c:v>18.277150492850126</c:v>
                </c:pt>
                <c:pt idx="163">
                  <c:v>3.6972486758659597</c:v>
                </c:pt>
                <c:pt idx="164">
                  <c:v>-8.4737854813128486</c:v>
                </c:pt>
                <c:pt idx="165">
                  <c:v>-18.41084928185921</c:v>
                </c:pt>
                <c:pt idx="166">
                  <c:v>-26.280899439699805</c:v>
                </c:pt>
                <c:pt idx="167">
                  <c:v>-32.233185059907534</c:v>
                </c:pt>
                <c:pt idx="168">
                  <c:v>-36.391509481237804</c:v>
                </c:pt>
                <c:pt idx="169">
                  <c:v>-38.848375959386033</c:v>
                </c:pt>
                <c:pt idx="170">
                  <c:v>-39.660896802301664</c:v>
                </c:pt>
                <c:pt idx="171">
                  <c:v>-38.848375959387333</c:v>
                </c:pt>
                <c:pt idx="172">
                  <c:v>-36.391509481240384</c:v>
                </c:pt>
                <c:pt idx="173">
                  <c:v>-32.233185059911392</c:v>
                </c:pt>
                <c:pt idx="174">
                  <c:v>-26.28089943970495</c:v>
                </c:pt>
                <c:pt idx="175">
                  <c:v>-18.410849281865691</c:v>
                </c:pt>
                <c:pt idx="176">
                  <c:v>-8.4737854813206948</c:v>
                </c:pt>
                <c:pt idx="177">
                  <c:v>3.6972486758567058</c:v>
                </c:pt>
                <c:pt idx="178">
                  <c:v>18.277150492839429</c:v>
                </c:pt>
                <c:pt idx="179">
                  <c:v>35.436799934307935</c:v>
                </c:pt>
                <c:pt idx="180">
                  <c:v>55.328741319577915</c:v>
                </c:pt>
                <c:pt idx="181">
                  <c:v>78.070339488743159</c:v>
                </c:pt>
                <c:pt idx="182">
                  <c:v>79.391599748646328</c:v>
                </c:pt>
                <c:pt idx="183">
                  <c:v>59.281176649792826</c:v>
                </c:pt>
                <c:pt idx="184">
                  <c:v>41.98508081544648</c:v>
                </c:pt>
                <c:pt idx="185">
                  <c:v>27.358095154078782</c:v>
                </c:pt>
                <c:pt idx="186">
                  <c:v>15.213415162767136</c:v>
                </c:pt>
                <c:pt idx="187">
                  <c:v>5.3370159843627212</c:v>
                </c:pt>
                <c:pt idx="188">
                  <c:v>-2.5004091038730318</c:v>
                </c:pt>
                <c:pt idx="189">
                  <c:v>-8.533730945377723</c:v>
                </c:pt>
                <c:pt idx="190">
                  <c:v>-12.995664337165097</c:v>
                </c:pt>
                <c:pt idx="191">
                  <c:v>-16.110816494539392</c:v>
                </c:pt>
                <c:pt idx="192">
                  <c:v>-18.091277026031999</c:v>
                </c:pt>
                <c:pt idx="193">
                  <c:v>-19.133529991720916</c:v>
                </c:pt>
                <c:pt idx="194">
                  <c:v>-19.416480671169829</c:v>
                </c:pt>
                <c:pt idx="195">
                  <c:v>-19.100404780801394</c:v>
                </c:pt>
                <c:pt idx="196">
                  <c:v>-18.326644959553931</c:v>
                </c:pt>
                <c:pt idx="197">
                  <c:v>-17.217897479239813</c:v>
                </c:pt>
                <c:pt idx="198">
                  <c:v>-15.87895059673513</c:v>
                </c:pt>
                <c:pt idx="199">
                  <c:v>-14.397754167462242</c:v>
                </c:pt>
                <c:pt idx="200">
                  <c:v>-12.846717637933002</c:v>
                </c:pt>
                <c:pt idx="201">
                  <c:v>-11.284150001858961</c:v>
                </c:pt>
                <c:pt idx="202">
                  <c:v>-9.7557705129710222</c:v>
                </c:pt>
                <c:pt idx="203">
                  <c:v>-8.296232756596277</c:v>
                </c:pt>
                <c:pt idx="204">
                  <c:v>-6.9306170196060135</c:v>
                </c:pt>
                <c:pt idx="205">
                  <c:v>-5.675856749468192</c:v>
                </c:pt>
                <c:pt idx="206">
                  <c:v>-4.5420742871081909</c:v>
                </c:pt>
                <c:pt idx="207">
                  <c:v>-3.533809058172519</c:v>
                </c:pt>
                <c:pt idx="208">
                  <c:v>-2.6511281007176302</c:v>
                </c:pt>
                <c:pt idx="209">
                  <c:v>-1.8906142986241306</c:v>
                </c:pt>
                <c:pt idx="210">
                  <c:v>-1.2462320935947029</c:v>
                </c:pt>
                <c:pt idx="211">
                  <c:v>-0.71007388357905676</c:v>
                </c:pt>
                <c:pt idx="212">
                  <c:v>-0.27299290140837495</c:v>
                </c:pt>
                <c:pt idx="213">
                  <c:v>7.486977916306016E-2</c:v>
                </c:pt>
                <c:pt idx="214">
                  <c:v>0.34365523095690503</c:v>
                </c:pt>
                <c:pt idx="215">
                  <c:v>0.54344406149593039</c:v>
                </c:pt>
                <c:pt idx="216">
                  <c:v>0.68399131801917101</c:v>
                </c:pt>
                <c:pt idx="217">
                  <c:v>0.77452907225267087</c:v>
                </c:pt>
                <c:pt idx="218">
                  <c:v>0.82362715584118229</c:v>
                </c:pt>
                <c:pt idx="219">
                  <c:v>0.83910302043779605</c:v>
                </c:pt>
                <c:pt idx="220">
                  <c:v>0.8279723375137803</c:v>
                </c:pt>
                <c:pt idx="221">
                  <c:v>0.79643268373596443</c:v>
                </c:pt>
                <c:pt idx="222">
                  <c:v>0.7498734382136949</c:v>
                </c:pt>
                <c:pt idx="223">
                  <c:v>0.69290581548558738</c:v>
                </c:pt>
                <c:pt idx="224">
                  <c:v>0.62940774697639845</c:v>
                </c:pt>
                <c:pt idx="225">
                  <c:v>0.56257908394148393</c:v>
                </c:pt>
                <c:pt idx="226">
                  <c:v>0.49500331195271707</c:v>
                </c:pt>
                <c:pt idx="227">
                  <c:v>0.42871263053175901</c:v>
                </c:pt>
                <c:pt idx="228">
                  <c:v>0.36525385511350844</c:v>
                </c:pt>
                <c:pt idx="229">
                  <c:v>0.30575313872752841</c:v>
                </c:pt>
                <c:pt idx="230">
                  <c:v>0.25097798672401017</c:v>
                </c:pt>
                <c:pt idx="231">
                  <c:v>0.20139545062242822</c:v>
                </c:pt>
                <c:pt idx="232">
                  <c:v>0.15722573931134201</c:v>
                </c:pt>
                <c:pt idx="233">
                  <c:v>0.11849078106417502</c:v>
                </c:pt>
                <c:pt idx="234">
                  <c:v>8.5057512601782265E-2</c:v>
                </c:pt>
                <c:pt idx="235">
                  <c:v>5.6675866637388189E-2</c:v>
                </c:pt>
                <c:pt idx="236">
                  <c:v>3.3011582119439317E-2</c:v>
                </c:pt>
                <c:pt idx="237">
                  <c:v>1.3674076914365087E-2</c:v>
                </c:pt>
                <c:pt idx="238">
                  <c:v>-1.7602940002403773E-3</c:v>
                </c:pt>
                <c:pt idx="239">
                  <c:v>-1.3729215804950366E-2</c:v>
                </c:pt>
                <c:pt idx="240">
                  <c:v>-2.2669214445039661E-2</c:v>
                </c:pt>
                <c:pt idx="241">
                  <c:v>-2.9003854062962364E-2</c:v>
                </c:pt>
                <c:pt idx="242">
                  <c:v>-3.3134905326846376E-2</c:v>
                </c:pt>
                <c:pt idx="243">
                  <c:v>-3.5436070944179901E-2</c:v>
                </c:pt>
                <c:pt idx="244">
                  <c:v>-3.6248875592857679E-2</c:v>
                </c:pt>
                <c:pt idx="245">
                  <c:v>-3.5880354658808664E-2</c:v>
                </c:pt>
                <c:pt idx="246">
                  <c:v>-3.4602207414653939E-2</c:v>
                </c:pt>
                <c:pt idx="247">
                  <c:v>-3.2651113839066721E-2</c:v>
                </c:pt>
                <c:pt idx="248">
                  <c:v>-3.0229948720869201E-2</c:v>
                </c:pt>
                <c:pt idx="249">
                  <c:v>-2.7509660869249605E-2</c:v>
                </c:pt>
                <c:pt idx="250">
                  <c:v>-2.4631618276760359E-2</c:v>
                </c:pt>
                <c:pt idx="251">
                  <c:v>-2.1710251297676907E-2</c:v>
                </c:pt>
                <c:pt idx="252">
                  <c:v>-1.8835854849050891E-2</c:v>
                </c:pt>
                <c:pt idx="253">
                  <c:v>-1.6077437018558672E-2</c:v>
                </c:pt>
                <c:pt idx="254">
                  <c:v>-1.3485525111851446E-2</c:v>
                </c:pt>
                <c:pt idx="255">
                  <c:v>-1.1094861043207973E-2</c:v>
                </c:pt>
                <c:pt idx="256">
                  <c:v>-8.9269361051813132E-3</c:v>
                </c:pt>
                <c:pt idx="257">
                  <c:v>-6.9923306511145344E-3</c:v>
                </c:pt>
                <c:pt idx="258">
                  <c:v>-5.2928372437765657E-3</c:v>
                </c:pt>
                <c:pt idx="259">
                  <c:v>-3.8233565530253239E-3</c:v>
                </c:pt>
                <c:pt idx="260">
                  <c:v>-2.573563935821825E-3</c:v>
                </c:pt>
                <c:pt idx="261">
                  <c:v>-1.5293514244219752E-3</c:v>
                </c:pt>
                <c:pt idx="262">
                  <c:v>-6.7405500681664958E-4</c:v>
                </c:pt>
                <c:pt idx="263">
                  <c:v>1.051917323531743E-5</c:v>
                </c:pt>
                <c:pt idx="264">
                  <c:v>5.4325353109884182E-4</c:v>
                </c:pt>
                <c:pt idx="265">
                  <c:v>9.4304497592356817E-4</c:v>
                </c:pt>
                <c:pt idx="266">
                  <c:v>1.2282796677148848E-3</c:v>
                </c:pt>
                <c:pt idx="267">
                  <c:v>1.416438160939184E-3</c:v>
                </c:pt>
                <c:pt idx="268">
                  <c:v>1.5238129780949876E-3</c:v>
                </c:pt>
                <c:pt idx="269">
                  <c:v>1.5653215259387662E-3</c:v>
                </c:pt>
                <c:pt idx="270">
                  <c:v>1.554398415920733E-3</c:v>
                </c:pt>
                <c:pt idx="271">
                  <c:v>1.5029525852252165E-3</c:v>
                </c:pt>
                <c:pt idx="272">
                  <c:v>1.4213760575762949E-3</c:v>
                </c:pt>
                <c:pt idx="273">
                  <c:v>1.3185926699131845E-3</c:v>
                </c:pt>
                <c:pt idx="274">
                  <c:v>1.2021365713034571E-3</c:v>
                </c:pt>
                <c:pt idx="275">
                  <c:v>1.0782517346322102E-3</c:v>
                </c:pt>
                <c:pt idx="276">
                  <c:v>9.5200508026584282E-4</c:v>
                </c:pt>
                <c:pt idx="277">
                  <c:v>8.2740707322299088E-4</c:v>
                </c:pt>
                <c:pt idx="278">
                  <c:v>7.0753480784441485E-4</c:v>
                </c:pt>
                <c:pt idx="279">
                  <c:v>5.94653629024859E-4</c:v>
                </c:pt>
                <c:pt idx="280">
                  <c:v>4.9033425414595226E-4</c:v>
                </c:pt>
                <c:pt idx="281">
                  <c:v>3.9556315621495447E-4</c:v>
                </c:pt>
                <c:pt idx="282">
                  <c:v>3.1084465064944319E-4</c:v>
                </c:pt>
                <c:pt idx="283">
                  <c:v>2.3629370214650364E-4</c:v>
                </c:pt>
                <c:pt idx="284">
                  <c:v>1.7171894217441987E-4</c:v>
                </c:pt>
                <c:pt idx="285">
                  <c:v>1.1669577084351061E-4</c:v>
                </c:pt>
                <c:pt idx="286">
                  <c:v>7.0629718783009787E-5</c:v>
                </c:pt>
                <c:pt idx="287">
                  <c:v>3.2810474842082212E-5</c:v>
                </c:pt>
                <c:pt idx="288">
                  <c:v>2.4571534543480284E-6</c:v>
                </c:pt>
                <c:pt idx="289">
                  <c:v>-2.1244509522147485E-5</c:v>
                </c:pt>
                <c:pt idx="290">
                  <c:v>-3.911227318599319E-5</c:v>
                </c:pt>
                <c:pt idx="291">
                  <c:v>-5.1944026980681262E-5</c:v>
                </c:pt>
                <c:pt idx="292">
                  <c:v>-6.0500147385796371E-5</c:v>
                </c:pt>
                <c:pt idx="293">
                  <c:v>-6.5490796747322982E-5</c:v>
                </c:pt>
                <c:pt idx="294">
                  <c:v>-6.7567421044010487E-5</c:v>
                </c:pt>
                <c:pt idx="295">
                  <c:v>-6.7317751917862764E-5</c:v>
                </c:pt>
                <c:pt idx="296">
                  <c:v>-6.5263675274823148E-5</c:v>
                </c:pt>
                <c:pt idx="297">
                  <c:v>-6.1861390742625548E-5</c:v>
                </c:pt>
                <c:pt idx="298">
                  <c:v>-5.7503350436811427E-5</c:v>
                </c:pt>
                <c:pt idx="299">
                  <c:v>-5.2521529577215258E-5</c:v>
                </c:pt>
                <c:pt idx="300">
                  <c:v>-4.7191643761342759E-5</c:v>
                </c:pt>
                <c:pt idx="301">
                  <c:v>-4.1737986822451083E-5</c:v>
                </c:pt>
                <c:pt idx="302">
                  <c:v>-3.6338618241247649E-5</c:v>
                </c:pt>
                <c:pt idx="303">
                  <c:v>-3.1130679423721285E-5</c:v>
                </c:pt>
                <c:pt idx="304">
                  <c:v>-2.6215663452854502E-5</c:v>
                </c:pt>
                <c:pt idx="305">
                  <c:v>-2.1664503035143801E-5</c:v>
                </c:pt>
                <c:pt idx="306">
                  <c:v>-1.7522376333014518E-5</c:v>
                </c:pt>
                <c:pt idx="307">
                  <c:v>-1.3813160373851087E-5</c:v>
                </c:pt>
                <c:pt idx="308">
                  <c:v>-1.0543487027076622E-5</c:v>
                </c:pt>
                <c:pt idx="309">
                  <c:v>-7.7063774838020057E-6</c:v>
                </c:pt>
                <c:pt idx="310">
                  <c:v>-5.2844481451457873E-6</c:v>
                </c:pt>
                <c:pt idx="311">
                  <c:v>-3.2526942357527304E-6</c:v>
                </c:pt>
                <c:pt idx="312">
                  <c:v>-1.5808677262061996E-6</c:v>
                </c:pt>
                <c:pt idx="313">
                  <c:v>-2.3547368414616289E-7</c:v>
                </c:pt>
                <c:pt idx="314">
                  <c:v>8.1858562462248158E-7</c:v>
                </c:pt>
                <c:pt idx="315">
                  <c:v>1.6166863237750984E-6</c:v>
                </c:pt>
                <c:pt idx="316">
                  <c:v>2.1934440184096703E-6</c:v>
                </c:pt>
                <c:pt idx="317">
                  <c:v>2.5819258873307704E-6</c:v>
                </c:pt>
                <c:pt idx="318">
                  <c:v>2.8130799761324904E-6</c:v>
                </c:pt>
                <c:pt idx="319">
                  <c:v>2.9153493737377662E-6</c:v>
                </c:pt>
                <c:pt idx="320">
                  <c:v>2.9144410019023192E-6</c:v>
                </c:pt>
                <c:pt idx="321">
                  <c:v>2.8332211771513515E-6</c:v>
                </c:pt>
                <c:pt idx="322">
                  <c:v>2.6917127657436958E-6</c:v>
                </c:pt>
                <c:pt idx="323">
                  <c:v>2.5071715198621656E-6</c:v>
                </c:pt>
                <c:pt idx="324">
                  <c:v>2.2942219572827569E-6</c:v>
                </c:pt>
                <c:pt idx="325">
                  <c:v>2.0650358492166507E-6</c:v>
                </c:pt>
                <c:pt idx="326">
                  <c:v>1.8295389530453292E-6</c:v>
                </c:pt>
                <c:pt idx="327">
                  <c:v>1.5956340260980998E-6</c:v>
                </c:pt>
                <c:pt idx="328">
                  <c:v>1.3694303553770301E-6</c:v>
                </c:pt>
                <c:pt idx="329">
                  <c:v>1.1554720198997165E-6</c:v>
                </c:pt>
                <c:pt idx="330">
                  <c:v>9.569588603955618E-7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F6-47BA-8848-76DCEED4B4C5}"/>
            </c:ext>
          </c:extLst>
        </c:ser>
        <c:ser>
          <c:idx val="1"/>
          <c:order val="1"/>
          <c:tx>
            <c:strRef>
              <c:f>Schotteroberbau!$S$6</c:f>
              <c:strCache>
                <c:ptCount val="1"/>
                <c:pt idx="0">
                  <c:v>sd Güterzüge</c:v>
                </c:pt>
              </c:strCache>
            </c:strRef>
          </c:tx>
          <c:spPr>
            <a:ln>
              <a:solidFill>
                <a:srgbClr val="FFC000"/>
              </a:solidFill>
              <a:prstDash val="sysDot"/>
            </a:ln>
          </c:spPr>
          <c:marker>
            <c:symbol val="none"/>
          </c:marker>
          <c:xVal>
            <c:numRef>
              <c:f>Schotteroberbau!$M$8:$M$338</c:f>
              <c:numCache>
                <c:formatCode>General</c:formatCode>
                <c:ptCount val="3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5">
                  <c:v>11.899999999999974</c:v>
                </c:pt>
                <c:pt idx="130">
                  <c:v>11.999999999999973</c:v>
                </c:pt>
                <c:pt idx="131">
                  <c:v>12.099999999999973</c:v>
                </c:pt>
                <c:pt idx="132">
                  <c:v>12.199999999999973</c:v>
                </c:pt>
                <c:pt idx="133">
                  <c:v>12.299999999999972</c:v>
                </c:pt>
                <c:pt idx="134">
                  <c:v>12.399999999999972</c:v>
                </c:pt>
                <c:pt idx="135">
                  <c:v>12.499999999999972</c:v>
                </c:pt>
                <c:pt idx="136">
                  <c:v>12.599999999999971</c:v>
                </c:pt>
                <c:pt idx="137">
                  <c:v>12.699999999999971</c:v>
                </c:pt>
                <c:pt idx="138">
                  <c:v>12.799999999999971</c:v>
                </c:pt>
                <c:pt idx="139">
                  <c:v>12.89999999999997</c:v>
                </c:pt>
                <c:pt idx="140">
                  <c:v>12.99999999999997</c:v>
                </c:pt>
                <c:pt idx="141">
                  <c:v>13.099999999999969</c:v>
                </c:pt>
                <c:pt idx="142">
                  <c:v>13.199999999999969</c:v>
                </c:pt>
                <c:pt idx="143">
                  <c:v>13.299999999999969</c:v>
                </c:pt>
                <c:pt idx="144">
                  <c:v>13.399999999999968</c:v>
                </c:pt>
                <c:pt idx="145">
                  <c:v>13.499999999999968</c:v>
                </c:pt>
                <c:pt idx="146">
                  <c:v>13.599999999999968</c:v>
                </c:pt>
                <c:pt idx="147">
                  <c:v>13.699999999999967</c:v>
                </c:pt>
                <c:pt idx="148">
                  <c:v>13.799999999999967</c:v>
                </c:pt>
                <c:pt idx="149">
                  <c:v>13.899999999999967</c:v>
                </c:pt>
                <c:pt idx="150">
                  <c:v>13.999999999999966</c:v>
                </c:pt>
                <c:pt idx="151">
                  <c:v>14.099999999999966</c:v>
                </c:pt>
                <c:pt idx="152">
                  <c:v>14.199999999999966</c:v>
                </c:pt>
                <c:pt idx="153">
                  <c:v>14.299999999999965</c:v>
                </c:pt>
                <c:pt idx="154">
                  <c:v>14.399999999999965</c:v>
                </c:pt>
                <c:pt idx="155">
                  <c:v>14.499999999999964</c:v>
                </c:pt>
                <c:pt idx="156">
                  <c:v>14.599999999999964</c:v>
                </c:pt>
                <c:pt idx="157">
                  <c:v>14.699999999999964</c:v>
                </c:pt>
                <c:pt idx="158">
                  <c:v>14.799999999999963</c:v>
                </c:pt>
                <c:pt idx="159">
                  <c:v>14.899999999999963</c:v>
                </c:pt>
                <c:pt idx="160">
                  <c:v>14.999999999999963</c:v>
                </c:pt>
                <c:pt idx="161">
                  <c:v>15.099999999999962</c:v>
                </c:pt>
                <c:pt idx="162">
                  <c:v>15.199999999999962</c:v>
                </c:pt>
                <c:pt idx="163">
                  <c:v>15.299999999999962</c:v>
                </c:pt>
                <c:pt idx="164">
                  <c:v>15.399999999999961</c:v>
                </c:pt>
                <c:pt idx="165">
                  <c:v>15.499999999999961</c:v>
                </c:pt>
                <c:pt idx="166">
                  <c:v>15.599999999999961</c:v>
                </c:pt>
                <c:pt idx="167">
                  <c:v>15.69999999999996</c:v>
                </c:pt>
                <c:pt idx="168">
                  <c:v>15.79999999999996</c:v>
                </c:pt>
                <c:pt idx="169">
                  <c:v>15.899999999999959</c:v>
                </c:pt>
                <c:pt idx="170">
                  <c:v>15.999999999999959</c:v>
                </c:pt>
                <c:pt idx="171">
                  <c:v>16.099999999999959</c:v>
                </c:pt>
                <c:pt idx="172">
                  <c:v>16.19999999999996</c:v>
                </c:pt>
                <c:pt idx="173">
                  <c:v>16.299999999999962</c:v>
                </c:pt>
                <c:pt idx="174">
                  <c:v>16.399999999999963</c:v>
                </c:pt>
                <c:pt idx="175">
                  <c:v>16.499999999999964</c:v>
                </c:pt>
                <c:pt idx="176">
                  <c:v>16.599999999999966</c:v>
                </c:pt>
                <c:pt idx="177">
                  <c:v>16.699999999999967</c:v>
                </c:pt>
                <c:pt idx="178">
                  <c:v>16.799999999999969</c:v>
                </c:pt>
                <c:pt idx="179">
                  <c:v>16.89999999999997</c:v>
                </c:pt>
                <c:pt idx="180">
                  <c:v>16.999999999999972</c:v>
                </c:pt>
                <c:pt idx="181">
                  <c:v>17.099999999999973</c:v>
                </c:pt>
                <c:pt idx="182">
                  <c:v>17.199999999999974</c:v>
                </c:pt>
                <c:pt idx="183">
                  <c:v>17.299999999999976</c:v>
                </c:pt>
                <c:pt idx="184">
                  <c:v>17.399999999999977</c:v>
                </c:pt>
                <c:pt idx="185">
                  <c:v>17.499999999999979</c:v>
                </c:pt>
                <c:pt idx="186">
                  <c:v>17.59999999999998</c:v>
                </c:pt>
                <c:pt idx="187">
                  <c:v>17.699999999999982</c:v>
                </c:pt>
                <c:pt idx="188">
                  <c:v>17.799999999999983</c:v>
                </c:pt>
                <c:pt idx="189">
                  <c:v>17.899999999999984</c:v>
                </c:pt>
                <c:pt idx="190">
                  <c:v>17.999999999999986</c:v>
                </c:pt>
                <c:pt idx="191">
                  <c:v>18.099999999999987</c:v>
                </c:pt>
                <c:pt idx="192">
                  <c:v>18.199999999999989</c:v>
                </c:pt>
                <c:pt idx="193">
                  <c:v>18.29999999999999</c:v>
                </c:pt>
                <c:pt idx="194">
                  <c:v>18.399999999999991</c:v>
                </c:pt>
                <c:pt idx="195">
                  <c:v>18.499999999999993</c:v>
                </c:pt>
                <c:pt idx="196">
                  <c:v>18.599999999999994</c:v>
                </c:pt>
                <c:pt idx="197">
                  <c:v>18.699999999999996</c:v>
                </c:pt>
                <c:pt idx="198">
                  <c:v>18.799999999999997</c:v>
                </c:pt>
                <c:pt idx="199">
                  <c:v>18.899999999999999</c:v>
                </c:pt>
                <c:pt idx="200">
                  <c:v>19</c:v>
                </c:pt>
                <c:pt idx="201">
                  <c:v>19.100000000000001</c:v>
                </c:pt>
                <c:pt idx="202">
                  <c:v>19.200000000000003</c:v>
                </c:pt>
                <c:pt idx="203">
                  <c:v>19.300000000000004</c:v>
                </c:pt>
                <c:pt idx="204">
                  <c:v>19.400000000000006</c:v>
                </c:pt>
                <c:pt idx="205">
                  <c:v>19.500000000000007</c:v>
                </c:pt>
                <c:pt idx="206">
                  <c:v>19.600000000000009</c:v>
                </c:pt>
                <c:pt idx="207">
                  <c:v>19.70000000000001</c:v>
                </c:pt>
                <c:pt idx="208">
                  <c:v>19.800000000000011</c:v>
                </c:pt>
                <c:pt idx="209">
                  <c:v>19.900000000000013</c:v>
                </c:pt>
                <c:pt idx="210">
                  <c:v>20.000000000000014</c:v>
                </c:pt>
                <c:pt idx="211">
                  <c:v>20.100000000000016</c:v>
                </c:pt>
                <c:pt idx="212">
                  <c:v>20.200000000000017</c:v>
                </c:pt>
                <c:pt idx="213">
                  <c:v>20.300000000000018</c:v>
                </c:pt>
                <c:pt idx="214">
                  <c:v>20.40000000000002</c:v>
                </c:pt>
                <c:pt idx="215">
                  <c:v>20.500000000000021</c:v>
                </c:pt>
                <c:pt idx="216">
                  <c:v>20.600000000000023</c:v>
                </c:pt>
                <c:pt idx="217">
                  <c:v>20.700000000000024</c:v>
                </c:pt>
                <c:pt idx="218">
                  <c:v>20.800000000000026</c:v>
                </c:pt>
                <c:pt idx="219">
                  <c:v>20.900000000000027</c:v>
                </c:pt>
                <c:pt idx="220">
                  <c:v>21.000000000000028</c:v>
                </c:pt>
                <c:pt idx="221">
                  <c:v>21.10000000000003</c:v>
                </c:pt>
                <c:pt idx="222">
                  <c:v>21.200000000000031</c:v>
                </c:pt>
                <c:pt idx="223">
                  <c:v>21.300000000000033</c:v>
                </c:pt>
                <c:pt idx="224">
                  <c:v>21.400000000000034</c:v>
                </c:pt>
                <c:pt idx="225">
                  <c:v>21.500000000000036</c:v>
                </c:pt>
                <c:pt idx="226">
                  <c:v>21.600000000000037</c:v>
                </c:pt>
                <c:pt idx="227">
                  <c:v>21.700000000000038</c:v>
                </c:pt>
                <c:pt idx="228">
                  <c:v>21.80000000000004</c:v>
                </c:pt>
                <c:pt idx="229">
                  <c:v>21.900000000000041</c:v>
                </c:pt>
                <c:pt idx="230">
                  <c:v>22.000000000000043</c:v>
                </c:pt>
                <c:pt idx="231">
                  <c:v>22.100000000000044</c:v>
                </c:pt>
                <c:pt idx="232">
                  <c:v>22.200000000000045</c:v>
                </c:pt>
                <c:pt idx="233">
                  <c:v>22.300000000000047</c:v>
                </c:pt>
                <c:pt idx="234">
                  <c:v>22.400000000000048</c:v>
                </c:pt>
                <c:pt idx="235">
                  <c:v>22.50000000000005</c:v>
                </c:pt>
                <c:pt idx="236">
                  <c:v>22.600000000000051</c:v>
                </c:pt>
                <c:pt idx="237">
                  <c:v>22.700000000000053</c:v>
                </c:pt>
                <c:pt idx="238">
                  <c:v>22.800000000000054</c:v>
                </c:pt>
                <c:pt idx="239">
                  <c:v>22.900000000000055</c:v>
                </c:pt>
                <c:pt idx="240">
                  <c:v>23.000000000000057</c:v>
                </c:pt>
                <c:pt idx="241">
                  <c:v>23.100000000000058</c:v>
                </c:pt>
                <c:pt idx="242">
                  <c:v>23.20000000000006</c:v>
                </c:pt>
                <c:pt idx="243">
                  <c:v>23.300000000000061</c:v>
                </c:pt>
                <c:pt idx="244">
                  <c:v>23.400000000000063</c:v>
                </c:pt>
                <c:pt idx="245">
                  <c:v>23.500000000000064</c:v>
                </c:pt>
                <c:pt idx="246">
                  <c:v>23.600000000000065</c:v>
                </c:pt>
                <c:pt idx="247">
                  <c:v>23.700000000000067</c:v>
                </c:pt>
                <c:pt idx="248">
                  <c:v>23.800000000000068</c:v>
                </c:pt>
                <c:pt idx="249">
                  <c:v>23.90000000000007</c:v>
                </c:pt>
                <c:pt idx="250">
                  <c:v>24.000000000000071</c:v>
                </c:pt>
                <c:pt idx="251">
                  <c:v>24.100000000000072</c:v>
                </c:pt>
                <c:pt idx="252">
                  <c:v>24.200000000000074</c:v>
                </c:pt>
                <c:pt idx="253">
                  <c:v>24.300000000000075</c:v>
                </c:pt>
                <c:pt idx="254">
                  <c:v>24.400000000000077</c:v>
                </c:pt>
                <c:pt idx="255">
                  <c:v>24.500000000000078</c:v>
                </c:pt>
                <c:pt idx="256">
                  <c:v>24.60000000000008</c:v>
                </c:pt>
                <c:pt idx="257">
                  <c:v>24.700000000000081</c:v>
                </c:pt>
                <c:pt idx="258">
                  <c:v>24.800000000000082</c:v>
                </c:pt>
                <c:pt idx="259">
                  <c:v>24.900000000000084</c:v>
                </c:pt>
                <c:pt idx="260">
                  <c:v>25.000000000000085</c:v>
                </c:pt>
                <c:pt idx="261">
                  <c:v>25.100000000000087</c:v>
                </c:pt>
                <c:pt idx="262">
                  <c:v>25.200000000000088</c:v>
                </c:pt>
                <c:pt idx="263">
                  <c:v>25.30000000000009</c:v>
                </c:pt>
                <c:pt idx="264">
                  <c:v>25.400000000000091</c:v>
                </c:pt>
                <c:pt idx="265">
                  <c:v>25.500000000000092</c:v>
                </c:pt>
                <c:pt idx="266">
                  <c:v>25.600000000000094</c:v>
                </c:pt>
                <c:pt idx="267">
                  <c:v>25.700000000000095</c:v>
                </c:pt>
                <c:pt idx="268">
                  <c:v>25.800000000000097</c:v>
                </c:pt>
                <c:pt idx="269">
                  <c:v>25.900000000000098</c:v>
                </c:pt>
                <c:pt idx="270">
                  <c:v>26.000000000000099</c:v>
                </c:pt>
                <c:pt idx="271">
                  <c:v>26.100000000000101</c:v>
                </c:pt>
                <c:pt idx="272">
                  <c:v>26.200000000000102</c:v>
                </c:pt>
                <c:pt idx="273">
                  <c:v>26.300000000000104</c:v>
                </c:pt>
                <c:pt idx="274">
                  <c:v>26.400000000000105</c:v>
                </c:pt>
                <c:pt idx="275">
                  <c:v>26.500000000000107</c:v>
                </c:pt>
                <c:pt idx="276">
                  <c:v>26.600000000000108</c:v>
                </c:pt>
                <c:pt idx="277">
                  <c:v>26.700000000000109</c:v>
                </c:pt>
                <c:pt idx="278">
                  <c:v>26.800000000000111</c:v>
                </c:pt>
                <c:pt idx="279">
                  <c:v>26.900000000000112</c:v>
                </c:pt>
                <c:pt idx="280">
                  <c:v>27.000000000000114</c:v>
                </c:pt>
                <c:pt idx="281">
                  <c:v>27.100000000000115</c:v>
                </c:pt>
                <c:pt idx="282">
                  <c:v>27.200000000000117</c:v>
                </c:pt>
                <c:pt idx="283">
                  <c:v>27.300000000000118</c:v>
                </c:pt>
                <c:pt idx="284">
                  <c:v>27.400000000000119</c:v>
                </c:pt>
                <c:pt idx="285">
                  <c:v>27.500000000000121</c:v>
                </c:pt>
                <c:pt idx="286">
                  <c:v>27.600000000000122</c:v>
                </c:pt>
                <c:pt idx="287">
                  <c:v>27.700000000000124</c:v>
                </c:pt>
                <c:pt idx="288">
                  <c:v>27.800000000000125</c:v>
                </c:pt>
                <c:pt idx="289">
                  <c:v>27.900000000000126</c:v>
                </c:pt>
                <c:pt idx="290">
                  <c:v>28.000000000000128</c:v>
                </c:pt>
                <c:pt idx="291">
                  <c:v>28.100000000000129</c:v>
                </c:pt>
                <c:pt idx="292">
                  <c:v>28.200000000000131</c:v>
                </c:pt>
                <c:pt idx="293">
                  <c:v>28.300000000000132</c:v>
                </c:pt>
                <c:pt idx="294">
                  <c:v>28.400000000000134</c:v>
                </c:pt>
                <c:pt idx="295">
                  <c:v>28.500000000000135</c:v>
                </c:pt>
                <c:pt idx="296">
                  <c:v>28.600000000000136</c:v>
                </c:pt>
                <c:pt idx="297">
                  <c:v>28.700000000000138</c:v>
                </c:pt>
                <c:pt idx="298">
                  <c:v>28.800000000000139</c:v>
                </c:pt>
                <c:pt idx="299">
                  <c:v>28.900000000000141</c:v>
                </c:pt>
                <c:pt idx="300">
                  <c:v>29.000000000000142</c:v>
                </c:pt>
                <c:pt idx="301">
                  <c:v>29.100000000000144</c:v>
                </c:pt>
                <c:pt idx="302">
                  <c:v>29.200000000000145</c:v>
                </c:pt>
                <c:pt idx="303">
                  <c:v>29.300000000000146</c:v>
                </c:pt>
                <c:pt idx="304">
                  <c:v>29.400000000000148</c:v>
                </c:pt>
                <c:pt idx="305">
                  <c:v>29.500000000000149</c:v>
                </c:pt>
                <c:pt idx="306">
                  <c:v>29.600000000000151</c:v>
                </c:pt>
                <c:pt idx="307">
                  <c:v>29.700000000000152</c:v>
                </c:pt>
                <c:pt idx="308">
                  <c:v>29.800000000000153</c:v>
                </c:pt>
                <c:pt idx="309">
                  <c:v>29.900000000000155</c:v>
                </c:pt>
                <c:pt idx="310">
                  <c:v>30.000000000000156</c:v>
                </c:pt>
                <c:pt idx="311">
                  <c:v>30.100000000000158</c:v>
                </c:pt>
                <c:pt idx="312">
                  <c:v>30.200000000000159</c:v>
                </c:pt>
                <c:pt idx="313">
                  <c:v>30.300000000000161</c:v>
                </c:pt>
                <c:pt idx="314">
                  <c:v>30.400000000000162</c:v>
                </c:pt>
                <c:pt idx="315">
                  <c:v>30.500000000000163</c:v>
                </c:pt>
                <c:pt idx="316">
                  <c:v>30.600000000000165</c:v>
                </c:pt>
                <c:pt idx="317">
                  <c:v>30.700000000000166</c:v>
                </c:pt>
                <c:pt idx="318">
                  <c:v>30.800000000000168</c:v>
                </c:pt>
                <c:pt idx="319">
                  <c:v>30.900000000000169</c:v>
                </c:pt>
                <c:pt idx="320">
                  <c:v>31.000000000000171</c:v>
                </c:pt>
                <c:pt idx="321">
                  <c:v>31.100000000000172</c:v>
                </c:pt>
                <c:pt idx="322">
                  <c:v>31.200000000000173</c:v>
                </c:pt>
                <c:pt idx="323">
                  <c:v>31.300000000000175</c:v>
                </c:pt>
                <c:pt idx="324">
                  <c:v>31.400000000000176</c:v>
                </c:pt>
                <c:pt idx="325">
                  <c:v>31.500000000000178</c:v>
                </c:pt>
                <c:pt idx="326">
                  <c:v>31.600000000000179</c:v>
                </c:pt>
                <c:pt idx="327">
                  <c:v>31.70000000000018</c:v>
                </c:pt>
                <c:pt idx="328">
                  <c:v>31.800000000000182</c:v>
                </c:pt>
                <c:pt idx="329">
                  <c:v>31.900000000000183</c:v>
                </c:pt>
                <c:pt idx="330">
                  <c:v>32</c:v>
                </c:pt>
              </c:numCache>
            </c:numRef>
          </c:xVal>
          <c:yVal>
            <c:numRef>
              <c:f>Schotteroberbau!$S$8:$S$338</c:f>
              <c:numCache>
                <c:formatCode>0.00</c:formatCode>
                <c:ptCount val="331"/>
                <c:pt idx="0">
                  <c:v>9.4547535407082027E-7</c:v>
                </c:pt>
                <c:pt idx="1">
                  <c:v>1.1416063556613014E-6</c:v>
                </c:pt>
                <c:pt idx="2">
                  <c:v>1.3529971911129032E-6</c:v>
                </c:pt>
                <c:pt idx="3">
                  <c:v>1.576486417785344E-6</c:v>
                </c:pt>
                <c:pt idx="4">
                  <c:v>9.4547535407082027E-7</c:v>
                </c:pt>
                <c:pt idx="5">
                  <c:v>1.8075844856092092E-6</c:v>
                </c:pt>
                <c:pt idx="6">
                  <c:v>2.0402554190264714E-6</c:v>
                </c:pt>
                <c:pt idx="7">
                  <c:v>2.2666912937957488E-6</c:v>
                </c:pt>
                <c:pt idx="8">
                  <c:v>2.4770854616241697E-6</c:v>
                </c:pt>
                <c:pt idx="9">
                  <c:v>9.4547535407082027E-7</c:v>
                </c:pt>
                <c:pt idx="10">
                  <c:v>2.6594122125550596E-6</c:v>
                </c:pt>
                <c:pt idx="11">
                  <c:v>2.7992225230257315E-6</c:v>
                </c:pt>
                <c:pt idx="12">
                  <c:v>2.8794677098795651E-6</c:v>
                </c:pt>
                <c:pt idx="13">
                  <c:v>2.8803651812528349E-6</c:v>
                </c:pt>
                <c:pt idx="14">
                  <c:v>2.7793230164186319E-6</c:v>
                </c:pt>
                <c:pt idx="15">
                  <c:v>2.5509427766822975E-6</c:v>
                </c:pt>
                <c:pt idx="16">
                  <c:v>2.1671226901879785E-6</c:v>
                </c:pt>
                <c:pt idx="17">
                  <c:v>1.5972860878886631E-6</c:v>
                </c:pt>
                <c:pt idx="18">
                  <c:v>8.0876259712554007E-7</c:v>
                </c:pt>
                <c:pt idx="19">
                  <c:v>-2.3264799993831793E-7</c:v>
                </c:pt>
                <c:pt idx="20">
                  <c:v>-1.5618973134941272E-6</c:v>
                </c:pt>
                <c:pt idx="21">
                  <c:v>-3.2136619049266516E-6</c:v>
                </c:pt>
                <c:pt idx="22">
                  <c:v>-5.2210347674075297E-6</c:v>
                </c:pt>
                <c:pt idx="23">
                  <c:v>-7.6139009540004429E-6</c:v>
                </c:pt>
                <c:pt idx="24">
                  <c:v>-1.0416965182756387E-5</c:v>
                </c:pt>
                <c:pt idx="25">
                  <c:v>-1.3647402449370214E-5</c:v>
                </c:pt>
                <c:pt idx="26">
                  <c:v>-1.7312107817024263E-5</c:v>
                </c:pt>
                <c:pt idx="27">
                  <c:v>-2.1404528998728638E-5</c:v>
                </c:pt>
                <c:pt idx="28">
                  <c:v>-2.5901075491427249E-5</c:v>
                </c:pt>
                <c:pt idx="29">
                  <c:v>-3.0757111270644036E-5</c:v>
                </c:pt>
                <c:pt idx="30">
                  <c:v>-3.5902554822360441E-5</c:v>
                </c:pt>
                <c:pt idx="31">
                  <c:v>-4.1237130980589451E-5</c:v>
                </c:pt>
                <c:pt idx="32">
                  <c:v>-4.6625344036214408E-5</c:v>
                </c:pt>
                <c:pt idx="33">
                  <c:v>-5.1891271222296048E-5</c:v>
                </c:pt>
                <c:pt idx="34">
                  <c:v>-5.6813310231576315E-5</c:v>
                </c:pt>
                <c:pt idx="35">
                  <c:v>-6.1119054053719422E-5</c:v>
                </c:pt>
                <c:pt idx="36">
                  <c:v>-6.4480511171529102E-5</c:v>
                </c:pt>
                <c:pt idx="37">
                  <c:v>-6.650993889485006E-5</c:v>
                </c:pt>
                <c:pt idx="38">
                  <c:v>-6.6756611991481264E-5</c:v>
                </c:pt>
                <c:pt idx="39">
                  <c:v>-6.4704907186350437E-5</c:v>
                </c:pt>
                <c:pt idx="40">
                  <c:v>-5.9774145617157608E-5</c:v>
                </c:pt>
                <c:pt idx="41">
                  <c:v>-5.1320698656899014E-5</c:v>
                </c:pt>
                <c:pt idx="42">
                  <c:v>-3.8642925907741727E-5</c:v>
                </c:pt>
                <c:pt idx="43">
                  <c:v>-2.0989575407855378E-5</c:v>
                </c:pt>
                <c:pt idx="44">
                  <c:v>2.427667612930189E-6</c:v>
                </c:pt>
                <c:pt idx="45">
                  <c:v>3.2416749144020028E-5</c:v>
                </c:pt>
                <c:pt idx="46">
                  <c:v>6.97821621576647E-5</c:v>
                </c:pt>
                <c:pt idx="47">
                  <c:v>1.1529542159344927E-4</c:v>
                </c:pt>
                <c:pt idx="48">
                  <c:v>1.6965831486839746E-4</c:v>
                </c:pt>
                <c:pt idx="49">
                  <c:v>2.3345817772082775E-4</c:v>
                </c:pt>
                <c:pt idx="50">
                  <c:v>3.0711451484174258E-4</c:v>
                </c:pt>
                <c:pt idx="51">
                  <c:v>3.9081639834047784E-4</c:v>
                </c:pt>
                <c:pt idx="52">
                  <c:v>4.8445024309631276E-4</c:v>
                </c:pt>
                <c:pt idx="53">
                  <c:v>5.8751778547668073E-4</c:v>
                </c:pt>
                <c:pt idx="54">
                  <c:v>6.990443901504096E-4</c:v>
                </c:pt>
                <c:pt idx="55">
                  <c:v>8.1747818834444633E-4</c:v>
                </c:pt>
                <c:pt idx="56">
                  <c:v>9.4058101930278529E-4</c:v>
                </c:pt>
                <c:pt idx="57">
                  <c:v>1.0653127138167547E-3</c:v>
                </c:pt>
                <c:pt idx="58">
                  <c:v>1.1877109324479377E-3</c:v>
                </c:pt>
                <c:pt idx="59">
                  <c:v>1.3027695578743355E-3</c:v>
                </c:pt>
                <c:pt idx="60">
                  <c:v>1.4043195448854697E-3</c:v>
                </c:pt>
                <c:pt idx="61">
                  <c:v>1.4849171542025781E-3</c:v>
                </c:pt>
                <c:pt idx="62">
                  <c:v>1.5357456349297178E-3</c:v>
                </c:pt>
                <c:pt idx="63">
                  <c:v>1.5465376676274886E-3</c:v>
                </c:pt>
                <c:pt idx="64">
                  <c:v>1.5055272223577793E-3</c:v>
                </c:pt>
                <c:pt idx="65">
                  <c:v>1.3994409030077812E-3</c:v>
                </c:pt>
                <c:pt idx="66">
                  <c:v>1.2135403117021031E-3</c:v>
                </c:pt>
                <c:pt idx="67">
                  <c:v>9.3172843621218708E-4</c:v>
                </c:pt>
                <c:pt idx="68">
                  <c:v>5.3673448872526466E-4</c:v>
                </c:pt>
                <c:pt idx="69">
                  <c:v>1.039294315599154E-5</c:v>
                </c:pt>
                <c:pt idx="70">
                  <c:v>-6.6596634673546286E-4</c:v>
                </c:pt>
                <c:pt idx="71">
                  <c:v>-1.5109992073296696E-3</c:v>
                </c:pt>
                <c:pt idx="72">
                  <c:v>-2.5426811685928586E-3</c:v>
                </c:pt>
                <c:pt idx="73">
                  <c:v>-3.7774762743900485E-3</c:v>
                </c:pt>
                <c:pt idx="74">
                  <c:v>-5.2293231968524225E-3</c:v>
                </c:pt>
                <c:pt idx="75">
                  <c:v>-6.9084226833024728E-3</c:v>
                </c:pt>
                <c:pt idx="76">
                  <c:v>-8.8198128719205772E-3</c:v>
                </c:pt>
                <c:pt idx="77">
                  <c:v>-1.0961722710691046E-2</c:v>
                </c:pt>
                <c:pt idx="78">
                  <c:v>-1.3323698810510895E-2</c:v>
                </c:pt>
                <c:pt idx="79">
                  <c:v>-1.5884507774337697E-2</c:v>
                </c:pt>
                <c:pt idx="80">
                  <c:v>-1.860982459086406E-2</c:v>
                </c:pt>
                <c:pt idx="81">
                  <c:v>-2.1449728282106582E-2</c:v>
                </c:pt>
                <c:pt idx="82">
                  <c:v>-2.4336038857440945E-2</c:v>
                </c:pt>
                <c:pt idx="83">
                  <c:v>-2.717954493882023E-2</c:v>
                </c:pt>
                <c:pt idx="84">
                  <c:v>-2.9867189336220238E-2</c:v>
                </c:pt>
                <c:pt idx="85">
                  <c:v>-3.2259300472999061E-2</c:v>
                </c:pt>
                <c:pt idx="86">
                  <c:v>-3.4186980925678935E-2</c:v>
                </c:pt>
                <c:pt idx="87">
                  <c:v>-3.5449790402903372E-2</c:v>
                </c:pt>
                <c:pt idx="88">
                  <c:v>-3.5813889085743275E-2</c:v>
                </c:pt>
                <c:pt idx="89">
                  <c:v>-3.5010838092848995E-2</c:v>
                </c:pt>
                <c:pt idx="90">
                  <c:v>-3.2737286462922781E-2</c:v>
                </c:pt>
                <c:pt idx="91">
                  <c:v>-2.8655807814204487E-2</c:v>
                </c:pt>
                <c:pt idx="92">
                  <c:v>-2.2397183871695973E-2</c:v>
                </c:pt>
                <c:pt idx="93">
                  <c:v>-1.3564465215286913E-2</c:v>
                </c:pt>
                <c:pt idx="94">
                  <c:v>-1.7391704722322444E-3</c:v>
                </c:pt>
                <c:pt idx="95">
                  <c:v>1.3509987991399023E-2</c:v>
                </c:pt>
                <c:pt idx="96">
                  <c:v>3.2615443134013544E-2</c:v>
                </c:pt>
                <c:pt idx="97">
                  <c:v>5.5995756237748225E-2</c:v>
                </c:pt>
                <c:pt idx="98">
                  <c:v>8.4036822450570578E-2</c:v>
                </c:pt>
                <c:pt idx="99">
                  <c:v>0.11706889169141568</c:v>
                </c:pt>
                <c:pt idx="100">
                  <c:v>0.15533903043961766</c:v>
                </c:pt>
                <c:pt idx="101">
                  <c:v>0.19897870521497127</c:v>
                </c:pt>
                <c:pt idx="102">
                  <c:v>0.24796625088333468</c:v>
                </c:pt>
                <c:pt idx="103">
                  <c:v>0.30208410106281103</c:v>
                </c:pt>
                <c:pt idx="104">
                  <c:v>0.36087080885215916</c:v>
                </c:pt>
                <c:pt idx="105">
                  <c:v>0.42356807896539106</c:v>
                </c:pt>
                <c:pt idx="106">
                  <c:v>0.48906327220929657</c:v>
                </c:pt>
                <c:pt idx="107">
                  <c:v>0.5558281349341968</c:v>
                </c:pt>
                <c:pt idx="108">
                  <c:v>0.62185485401269125</c:v>
                </c:pt>
                <c:pt idx="109">
                  <c:v>0.68459094569976786</c:v>
                </c:pt>
                <c:pt idx="110">
                  <c:v>0.74087495695513605</c:v>
                </c:pt>
                <c:pt idx="111">
                  <c:v>0.78687549153113712</c:v>
                </c:pt>
                <c:pt idx="112">
                  <c:v>0.81803666946361586</c:v>
                </c:pt>
                <c:pt idx="113">
                  <c:v>0.82903378419254248</c:v>
                </c:pt>
                <c:pt idx="114">
                  <c:v>0.81374362997108807</c:v>
                </c:pt>
                <c:pt idx="115">
                  <c:v>0.76523472338563736</c:v>
                </c:pt>
                <c:pt idx="116">
                  <c:v>0.67578342220294096</c:v>
                </c:pt>
                <c:pt idx="117">
                  <c:v>0.5369227327579833</c:v>
                </c:pt>
                <c:pt idx="118">
                  <c:v>0.33953136818543034</c:v>
                </c:pt>
                <c:pt idx="119">
                  <c:v>7.3971341813118305E-2</c:v>
                </c:pt>
                <c:pt idx="120">
                  <c:v>-0.26971698659144711</c:v>
                </c:pt>
                <c:pt idx="125">
                  <c:v>-0.70155299697606688</c:v>
                </c:pt>
                <c:pt idx="130">
                  <c:v>-1.2312773084715036</c:v>
                </c:pt>
                <c:pt idx="131">
                  <c:v>-1.8679269270405541</c:v>
                </c:pt>
                <c:pt idx="132">
                  <c:v>-2.6193145635089028</c:v>
                </c:pt>
                <c:pt idx="133">
                  <c:v>-3.4914033494742998</c:v>
                </c:pt>
                <c:pt idx="134">
                  <c:v>-4.487569395662705</c:v>
                </c:pt>
                <c:pt idx="135">
                  <c:v>-5.6077464684743488</c:v>
                </c:pt>
                <c:pt idx="136">
                  <c:v>-6.847449615370472</c:v>
                </c:pt>
                <c:pt idx="137">
                  <c:v>-8.1966779635167981</c:v>
                </c:pt>
                <c:pt idx="138">
                  <c:v>-9.6387012668149996</c:v>
                </c:pt>
                <c:pt idx="139">
                  <c:v>-11.148740201836246</c:v>
                </c:pt>
                <c:pt idx="140">
                  <c:v>-12.692557026277367</c:v>
                </c:pt>
                <c:pt idx="141">
                  <c:v>-14.22498111745224</c:v>
                </c:pt>
                <c:pt idx="142">
                  <c:v>-15.688403189573858</c:v>
                </c:pt>
                <c:pt idx="143">
                  <c:v>-17.011282709488519</c:v>
                </c:pt>
                <c:pt idx="144">
                  <c:v>-18.106725220038946</c:v>
                </c:pt>
                <c:pt idx="145">
                  <c:v>-18.871199923431565</c:v>
                </c:pt>
                <c:pt idx="146">
                  <c:v>-19.18348290311577</c:v>
                </c:pt>
                <c:pt idx="147">
                  <c:v>-18.903927631820522</c:v>
                </c:pt>
                <c:pt idx="148">
                  <c:v>-17.87418170172025</c:v>
                </c:pt>
                <c:pt idx="149">
                  <c:v>-15.91748669660603</c:v>
                </c:pt>
                <c:pt idx="150">
                  <c:v>-12.839716365120825</c:v>
                </c:pt>
                <c:pt idx="151">
                  <c:v>-8.4313261740356644</c:v>
                </c:pt>
                <c:pt idx="152">
                  <c:v>-2.4704041946299502</c:v>
                </c:pt>
                <c:pt idx="153">
                  <c:v>5.2729717925458814</c:v>
                </c:pt>
                <c:pt idx="154">
                  <c:v>15.030854180808149</c:v>
                </c:pt>
                <c:pt idx="155">
                  <c:v>27.029798012222567</c:v>
                </c:pt>
                <c:pt idx="156">
                  <c:v>41.481259845652161</c:v>
                </c:pt>
                <c:pt idx="157">
                  <c:v>58.569802529984493</c:v>
                </c:pt>
                <c:pt idx="158">
                  <c:v>78.438900551649724</c:v>
                </c:pt>
                <c:pt idx="159">
                  <c:v>77.133495414893105</c:v>
                </c:pt>
                <c:pt idx="160">
                  <c:v>54.664796423756435</c:v>
                </c:pt>
                <c:pt idx="161">
                  <c:v>35.011558335108262</c:v>
                </c:pt>
                <c:pt idx="162">
                  <c:v>18.057824686935923</c:v>
                </c:pt>
                <c:pt idx="163">
                  <c:v>3.6528816917555682</c:v>
                </c:pt>
                <c:pt idx="164">
                  <c:v>-8.3721000555370928</c:v>
                </c:pt>
                <c:pt idx="165">
                  <c:v>-18.189919090476902</c:v>
                </c:pt>
                <c:pt idx="166">
                  <c:v>-25.965528646423408</c:v>
                </c:pt>
                <c:pt idx="167">
                  <c:v>-31.846386839188646</c:v>
                </c:pt>
                <c:pt idx="168">
                  <c:v>-35.954811367462945</c:v>
                </c:pt>
                <c:pt idx="169">
                  <c:v>-38.3821954478734</c:v>
                </c:pt>
                <c:pt idx="170">
                  <c:v>-39.184966040674041</c:v>
                </c:pt>
                <c:pt idx="171">
                  <c:v>-38.382195447874679</c:v>
                </c:pt>
                <c:pt idx="172">
                  <c:v>-35.954811367465496</c:v>
                </c:pt>
                <c:pt idx="173">
                  <c:v>-31.846386839192451</c:v>
                </c:pt>
                <c:pt idx="174">
                  <c:v>-25.965528646428488</c:v>
                </c:pt>
                <c:pt idx="175">
                  <c:v>-18.189919090483301</c:v>
                </c:pt>
                <c:pt idx="176">
                  <c:v>-8.3721000555448466</c:v>
                </c:pt>
                <c:pt idx="177">
                  <c:v>3.6528816917464253</c:v>
                </c:pt>
                <c:pt idx="178">
                  <c:v>18.057824686925354</c:v>
                </c:pt>
                <c:pt idx="179">
                  <c:v>35.01155833509624</c:v>
                </c:pt>
                <c:pt idx="180">
                  <c:v>54.664796423742978</c:v>
                </c:pt>
                <c:pt idx="181">
                  <c:v>77.13349541487824</c:v>
                </c:pt>
                <c:pt idx="182">
                  <c:v>78.43890055166257</c:v>
                </c:pt>
                <c:pt idx="183">
                  <c:v>58.569802529995307</c:v>
                </c:pt>
                <c:pt idx="184">
                  <c:v>41.481259845661121</c:v>
                </c:pt>
                <c:pt idx="185">
                  <c:v>27.029798012229836</c:v>
                </c:pt>
                <c:pt idx="186">
                  <c:v>15.030854180813931</c:v>
                </c:pt>
                <c:pt idx="187">
                  <c:v>5.2729717925503685</c:v>
                </c:pt>
                <c:pt idx="188">
                  <c:v>-2.4704041946265551</c:v>
                </c:pt>
                <c:pt idx="189">
                  <c:v>-8.43132617403319</c:v>
                </c:pt>
                <c:pt idx="190">
                  <c:v>-12.839716365119115</c:v>
                </c:pt>
                <c:pt idx="191">
                  <c:v>-15.91748669660492</c:v>
                </c:pt>
                <c:pt idx="192">
                  <c:v>-17.874181701719614</c:v>
                </c:pt>
                <c:pt idx="193">
                  <c:v>-18.903927631820267</c:v>
                </c:pt>
                <c:pt idx="194">
                  <c:v>-19.183482903115792</c:v>
                </c:pt>
                <c:pt idx="195">
                  <c:v>-18.871199923431774</c:v>
                </c:pt>
                <c:pt idx="196">
                  <c:v>-18.106725220039284</c:v>
                </c:pt>
                <c:pt idx="197">
                  <c:v>-17.011282709488931</c:v>
                </c:pt>
                <c:pt idx="198">
                  <c:v>-15.688403189574307</c:v>
                </c:pt>
                <c:pt idx="199">
                  <c:v>-14.224981117452696</c:v>
                </c:pt>
                <c:pt idx="200">
                  <c:v>-12.692557026277806</c:v>
                </c:pt>
                <c:pt idx="201">
                  <c:v>-11.148740201836654</c:v>
                </c:pt>
                <c:pt idx="202">
                  <c:v>-9.6387012668153709</c:v>
                </c:pt>
                <c:pt idx="203">
                  <c:v>-8.1966779635171214</c:v>
                </c:pt>
                <c:pt idx="204">
                  <c:v>-6.8474496153707411</c:v>
                </c:pt>
                <c:pt idx="205">
                  <c:v>-5.6077464684745735</c:v>
                </c:pt>
                <c:pt idx="206">
                  <c:v>-4.4875693956628933</c:v>
                </c:pt>
                <c:pt idx="207">
                  <c:v>-3.491403349474449</c:v>
                </c:pt>
                <c:pt idx="208">
                  <c:v>-2.6193145635090183</c:v>
                </c:pt>
                <c:pt idx="209">
                  <c:v>-1.8679269270406409</c:v>
                </c:pt>
                <c:pt idx="210">
                  <c:v>-1.2312773084715665</c:v>
                </c:pt>
                <c:pt idx="211">
                  <c:v>-0.70155299697610796</c:v>
                </c:pt>
                <c:pt idx="212">
                  <c:v>-0.26971698659147447</c:v>
                </c:pt>
                <c:pt idx="213">
                  <c:v>7.3971341813103442E-2</c:v>
                </c:pt>
                <c:pt idx="214">
                  <c:v>0.33953136818542218</c:v>
                </c:pt>
                <c:pt idx="215">
                  <c:v>0.53692273275797919</c:v>
                </c:pt>
                <c:pt idx="216">
                  <c:v>0.67578342220294096</c:v>
                </c:pt>
                <c:pt idx="217">
                  <c:v>0.7652347233856388</c:v>
                </c:pt>
                <c:pt idx="218">
                  <c:v>0.81374362997108807</c:v>
                </c:pt>
                <c:pt idx="219">
                  <c:v>0.82903378419254248</c:v>
                </c:pt>
                <c:pt idx="220">
                  <c:v>0.81803666946361497</c:v>
                </c:pt>
                <c:pt idx="221">
                  <c:v>0.78687549153113279</c:v>
                </c:pt>
                <c:pt idx="222">
                  <c:v>0.74087495695513061</c:v>
                </c:pt>
                <c:pt idx="223">
                  <c:v>0.68459094569976031</c:v>
                </c:pt>
                <c:pt idx="224">
                  <c:v>0.62185485401268159</c:v>
                </c:pt>
                <c:pt idx="225">
                  <c:v>0.55582813493418604</c:v>
                </c:pt>
                <c:pt idx="226">
                  <c:v>0.48906327220928442</c:v>
                </c:pt>
                <c:pt idx="227">
                  <c:v>0.4235680789653779</c:v>
                </c:pt>
                <c:pt idx="228">
                  <c:v>0.36087080885214629</c:v>
                </c:pt>
                <c:pt idx="229">
                  <c:v>0.30208410106279804</c:v>
                </c:pt>
                <c:pt idx="230">
                  <c:v>0.24796625088332203</c:v>
                </c:pt>
                <c:pt idx="231">
                  <c:v>0.19897870521495906</c:v>
                </c:pt>
                <c:pt idx="232">
                  <c:v>0.1553390304396059</c:v>
                </c:pt>
                <c:pt idx="233">
                  <c:v>0.1170688916914049</c:v>
                </c:pt>
                <c:pt idx="234">
                  <c:v>8.4036822450560877E-2</c:v>
                </c:pt>
                <c:pt idx="235">
                  <c:v>5.599575623773953E-2</c:v>
                </c:pt>
                <c:pt idx="236">
                  <c:v>3.2615443134006043E-2</c:v>
                </c:pt>
                <c:pt idx="237">
                  <c:v>1.3509987991392707E-2</c:v>
                </c:pt>
                <c:pt idx="238">
                  <c:v>-1.7391704722374928E-3</c:v>
                </c:pt>
                <c:pt idx="239">
                  <c:v>-1.3564465215290962E-2</c:v>
                </c:pt>
                <c:pt idx="240">
                  <c:v>-2.2397183871699186E-2</c:v>
                </c:pt>
                <c:pt idx="241">
                  <c:v>-2.8655807814206815E-2</c:v>
                </c:pt>
                <c:pt idx="242">
                  <c:v>-3.2737286462924217E-2</c:v>
                </c:pt>
                <c:pt idx="243">
                  <c:v>-3.5010838092849744E-2</c:v>
                </c:pt>
                <c:pt idx="244">
                  <c:v>-3.5813889085743386E-2</c:v>
                </c:pt>
                <c:pt idx="245">
                  <c:v>-3.5449790402902956E-2</c:v>
                </c:pt>
                <c:pt idx="246">
                  <c:v>-3.4186980925678088E-2</c:v>
                </c:pt>
                <c:pt idx="247">
                  <c:v>-3.2259300472997923E-2</c:v>
                </c:pt>
                <c:pt idx="248">
                  <c:v>-2.986718933621877E-2</c:v>
                </c:pt>
                <c:pt idx="249">
                  <c:v>-2.7179544938818606E-2</c:v>
                </c:pt>
                <c:pt idx="250">
                  <c:v>-2.4336038857439235E-2</c:v>
                </c:pt>
                <c:pt idx="251">
                  <c:v>-2.1449728282104785E-2</c:v>
                </c:pt>
                <c:pt idx="252">
                  <c:v>-1.860982459086228E-2</c:v>
                </c:pt>
                <c:pt idx="253">
                  <c:v>-1.5884507774335966E-2</c:v>
                </c:pt>
                <c:pt idx="254">
                  <c:v>-1.3323698810509229E-2</c:v>
                </c:pt>
                <c:pt idx="255">
                  <c:v>-1.0961722710689476E-2</c:v>
                </c:pt>
                <c:pt idx="256">
                  <c:v>-8.8198128719191374E-3</c:v>
                </c:pt>
                <c:pt idx="257">
                  <c:v>-6.9084226833011596E-3</c:v>
                </c:pt>
                <c:pt idx="258">
                  <c:v>-5.2293231968512464E-3</c:v>
                </c:pt>
                <c:pt idx="259">
                  <c:v>-3.7774762743890194E-3</c:v>
                </c:pt>
                <c:pt idx="260">
                  <c:v>-2.5426811685919631E-3</c:v>
                </c:pt>
                <c:pt idx="261">
                  <c:v>-1.5109992073289115E-3</c:v>
                </c:pt>
                <c:pt idx="262">
                  <c:v>-6.6596634673484975E-4</c:v>
                </c:pt>
                <c:pt idx="263">
                  <c:v>1.0392943156493621E-5</c:v>
                </c:pt>
                <c:pt idx="264">
                  <c:v>5.3673448872565573E-4</c:v>
                </c:pt>
                <c:pt idx="265">
                  <c:v>9.3172843621248534E-4</c:v>
                </c:pt>
                <c:pt idx="266">
                  <c:v>1.213540311702306E-3</c:v>
                </c:pt>
                <c:pt idx="267">
                  <c:v>1.3994409030079137E-3</c:v>
                </c:pt>
                <c:pt idx="268">
                  <c:v>1.5055272223578478E-3</c:v>
                </c:pt>
                <c:pt idx="269">
                  <c:v>1.546537667627501E-3</c:v>
                </c:pt>
                <c:pt idx="270">
                  <c:v>1.5357456349296842E-3</c:v>
                </c:pt>
                <c:pt idx="271">
                  <c:v>1.4849171542025139E-3</c:v>
                </c:pt>
                <c:pt idx="272">
                  <c:v>1.4043195448853794E-3</c:v>
                </c:pt>
                <c:pt idx="273">
                  <c:v>1.3027695578742263E-3</c:v>
                </c:pt>
                <c:pt idx="274">
                  <c:v>1.1877109324478156E-3</c:v>
                </c:pt>
                <c:pt idx="275">
                  <c:v>1.0653127138166238E-3</c:v>
                </c:pt>
                <c:pt idx="276">
                  <c:v>9.405810193026527E-4</c:v>
                </c:pt>
                <c:pt idx="277">
                  <c:v>8.1747818834431493E-4</c:v>
                </c:pt>
                <c:pt idx="278">
                  <c:v>6.9904439015028178E-4</c:v>
                </c:pt>
                <c:pt idx="279">
                  <c:v>5.8751778547656071E-4</c:v>
                </c:pt>
                <c:pt idx="280">
                  <c:v>4.8445024309620087E-4</c:v>
                </c:pt>
                <c:pt idx="281">
                  <c:v>3.90816398340375E-4</c:v>
                </c:pt>
                <c:pt idx="282">
                  <c:v>3.0711451484164988E-4</c:v>
                </c:pt>
                <c:pt idx="283">
                  <c:v>2.3345817772074559E-4</c:v>
                </c:pt>
                <c:pt idx="284">
                  <c:v>1.6965831486832683E-4</c:v>
                </c:pt>
                <c:pt idx="285">
                  <c:v>1.1529542159338848E-4</c:v>
                </c:pt>
                <c:pt idx="286">
                  <c:v>6.9782162157613662E-5</c:v>
                </c:pt>
                <c:pt idx="287">
                  <c:v>3.2416749143977222E-5</c:v>
                </c:pt>
                <c:pt idx="288">
                  <c:v>2.427667612895852E-6</c:v>
                </c:pt>
                <c:pt idx="289">
                  <c:v>-2.0989575407881714E-5</c:v>
                </c:pt>
                <c:pt idx="290">
                  <c:v>-3.864292590776127E-5</c:v>
                </c:pt>
                <c:pt idx="291">
                  <c:v>-5.1320698656913088E-5</c:v>
                </c:pt>
                <c:pt idx="292">
                  <c:v>-5.9774145617166817E-5</c:v>
                </c:pt>
                <c:pt idx="293">
                  <c:v>-6.4704907186355099E-5</c:v>
                </c:pt>
                <c:pt idx="294">
                  <c:v>-6.6756611991482348E-5</c:v>
                </c:pt>
                <c:pt idx="295">
                  <c:v>-6.6509938894848407E-5</c:v>
                </c:pt>
                <c:pt idx="296">
                  <c:v>-6.4480511171525267E-5</c:v>
                </c:pt>
                <c:pt idx="297">
                  <c:v>-6.1119054053714028E-5</c:v>
                </c:pt>
                <c:pt idx="298">
                  <c:v>-5.6813310231569688E-5</c:v>
                </c:pt>
                <c:pt idx="299">
                  <c:v>-5.1891271222288675E-5</c:v>
                </c:pt>
                <c:pt idx="300">
                  <c:v>-4.6625344036206643E-5</c:v>
                </c:pt>
                <c:pt idx="301">
                  <c:v>-4.1237130980581665E-5</c:v>
                </c:pt>
                <c:pt idx="302">
                  <c:v>-3.5902554822352675E-5</c:v>
                </c:pt>
                <c:pt idx="303">
                  <c:v>-3.0757111270636629E-5</c:v>
                </c:pt>
                <c:pt idx="304">
                  <c:v>-2.5901075491420245E-5</c:v>
                </c:pt>
                <c:pt idx="305">
                  <c:v>-2.1404528998722075E-5</c:v>
                </c:pt>
                <c:pt idx="306">
                  <c:v>-1.7312107817018344E-5</c:v>
                </c:pt>
                <c:pt idx="307">
                  <c:v>-1.3647402449364873E-5</c:v>
                </c:pt>
                <c:pt idx="308">
                  <c:v>-1.0416965182751703E-5</c:v>
                </c:pt>
                <c:pt idx="309">
                  <c:v>-7.6139009539963822E-6</c:v>
                </c:pt>
                <c:pt idx="310">
                  <c:v>-5.2210347674040382E-6</c:v>
                </c:pt>
                <c:pt idx="311">
                  <c:v>-3.2136619049236976E-6</c:v>
                </c:pt>
                <c:pt idx="312">
                  <c:v>-1.5618973134917252E-6</c:v>
                </c:pt>
                <c:pt idx="313">
                  <c:v>-2.3264799993640893E-7</c:v>
                </c:pt>
                <c:pt idx="314">
                  <c:v>8.0876259712701179E-7</c:v>
                </c:pt>
                <c:pt idx="315">
                  <c:v>1.5972860878897971E-6</c:v>
                </c:pt>
                <c:pt idx="316">
                  <c:v>2.1671226901887544E-6</c:v>
                </c:pt>
                <c:pt idx="317">
                  <c:v>2.550942776682801E-6</c:v>
                </c:pt>
                <c:pt idx="318">
                  <c:v>2.7793230164189004E-6</c:v>
                </c:pt>
                <c:pt idx="319">
                  <c:v>2.8803651812529128E-6</c:v>
                </c:pt>
                <c:pt idx="320">
                  <c:v>2.8794677098794915E-6</c:v>
                </c:pt>
                <c:pt idx="321">
                  <c:v>2.7992225230255354E-6</c:v>
                </c:pt>
                <c:pt idx="322">
                  <c:v>2.6594122125547716E-6</c:v>
                </c:pt>
                <c:pt idx="323">
                  <c:v>2.4770854616238199E-6</c:v>
                </c:pt>
                <c:pt idx="324">
                  <c:v>2.2666912937953638E-6</c:v>
                </c:pt>
                <c:pt idx="325">
                  <c:v>2.0402554190260509E-6</c:v>
                </c:pt>
                <c:pt idx="326">
                  <c:v>1.807584485608785E-6</c:v>
                </c:pt>
                <c:pt idx="327">
                  <c:v>1.5764864177849226E-6</c:v>
                </c:pt>
                <c:pt idx="328">
                  <c:v>1.3529971911125058E-6</c:v>
                </c:pt>
                <c:pt idx="329">
                  <c:v>1.1416063556609198E-6</c:v>
                </c:pt>
                <c:pt idx="330">
                  <c:v>9.4547535407081497E-7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F6-47BA-8848-76DCEED4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410304"/>
        <c:axId val="143412224"/>
      </c:scatterChart>
      <c:valAx>
        <c:axId val="143410304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79925364374880159"/>
              <c:y val="0.91690879938176273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412224"/>
        <c:crosses val="autoZero"/>
        <c:crossBetween val="midCat"/>
        <c:majorUnit val="1"/>
        <c:minorUnit val="0.5"/>
      </c:valAx>
      <c:valAx>
        <c:axId val="143412224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Normalspannung 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 [N/mm</a:t>
                </a:r>
                <a:r>
                  <a:rPr lang="de-DE" sz="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]</a:t>
                </a:r>
              </a:p>
            </c:rich>
          </c:tx>
          <c:layout>
            <c:manualLayout>
              <c:xMode val="edge"/>
              <c:yMode val="edge"/>
              <c:x val="1.0570246073819043E-2"/>
              <c:y val="0.24429910565556101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3410304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34269676332812027"/>
          <c:y val="0.88831987825782799"/>
          <c:w val="0.39761992118127482"/>
          <c:h val="9.4980896700171763E-2"/>
        </c:manualLayout>
      </c:layout>
      <c:overlay val="0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0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Biegelinie nach Zimmermann</a:t>
            </a:r>
          </a:p>
        </c:rich>
      </c:tx>
      <c:layout>
        <c:manualLayout>
          <c:xMode val="edge"/>
          <c:yMode val="edge"/>
          <c:x val="0.36273983648797542"/>
          <c:y val="5.100260635366327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089258286582953E-2"/>
          <c:y val="0.16663225679594948"/>
          <c:w val="0.89460400898595771"/>
          <c:h val="0.77309618306906125"/>
        </c:manualLayout>
      </c:layout>
      <c:scatterChart>
        <c:scatterStyle val="smoothMarker"/>
        <c:varyColors val="0"/>
        <c:ser>
          <c:idx val="5"/>
          <c:order val="0"/>
          <c:tx>
            <c:strRef>
              <c:f>'Feste Fahrbahn'!$N$6</c:f>
              <c:strCache>
                <c:ptCount val="1"/>
                <c:pt idx="0">
                  <c:v>Einsenkungen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dPt>
            <c:idx val="215"/>
            <c:bubble3D val="0"/>
            <c:extLst>
              <c:ext xmlns:c16="http://schemas.microsoft.com/office/drawing/2014/chart" uri="{C3380CC4-5D6E-409C-BE32-E72D297353CC}">
                <c16:uniqueId val="{00000000-FBC0-48FB-83FC-76081DDA4E75}"/>
              </c:ext>
            </c:extLst>
          </c:dPt>
          <c:xVal>
            <c:numRef>
              <c:f>'Feste Fahrbahn'!$M$9:$M$331</c:f>
              <c:numCache>
                <c:formatCode>General</c:formatCode>
                <c:ptCount val="323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5">
                  <c:v>0.4</c:v>
                </c:pt>
                <c:pt idx="6">
                  <c:v>0.5</c:v>
                </c:pt>
                <c:pt idx="7">
                  <c:v>0.6</c:v>
                </c:pt>
                <c:pt idx="8">
                  <c:v>0.7</c:v>
                </c:pt>
                <c:pt idx="10">
                  <c:v>0.79999999999999993</c:v>
                </c:pt>
                <c:pt idx="11">
                  <c:v>0.89999999999999991</c:v>
                </c:pt>
                <c:pt idx="12">
                  <c:v>0.99999999999999989</c:v>
                </c:pt>
                <c:pt idx="13">
                  <c:v>1.0999999999999999</c:v>
                </c:pt>
                <c:pt idx="14">
                  <c:v>1.2</c:v>
                </c:pt>
                <c:pt idx="15">
                  <c:v>1.3</c:v>
                </c:pt>
                <c:pt idx="16">
                  <c:v>1.4000000000000001</c:v>
                </c:pt>
                <c:pt idx="17">
                  <c:v>1.5000000000000002</c:v>
                </c:pt>
                <c:pt idx="18">
                  <c:v>1.6000000000000003</c:v>
                </c:pt>
                <c:pt idx="19">
                  <c:v>1.7000000000000004</c:v>
                </c:pt>
                <c:pt idx="20">
                  <c:v>1.8000000000000005</c:v>
                </c:pt>
                <c:pt idx="21">
                  <c:v>1.9000000000000006</c:v>
                </c:pt>
                <c:pt idx="22">
                  <c:v>2.0000000000000004</c:v>
                </c:pt>
                <c:pt idx="23">
                  <c:v>2.1000000000000005</c:v>
                </c:pt>
                <c:pt idx="24">
                  <c:v>2.2000000000000006</c:v>
                </c:pt>
                <c:pt idx="25">
                  <c:v>2.3000000000000007</c:v>
                </c:pt>
                <c:pt idx="26">
                  <c:v>2.4000000000000008</c:v>
                </c:pt>
                <c:pt idx="27">
                  <c:v>2.5000000000000009</c:v>
                </c:pt>
                <c:pt idx="28">
                  <c:v>2.600000000000001</c:v>
                </c:pt>
                <c:pt idx="29">
                  <c:v>2.7000000000000011</c:v>
                </c:pt>
                <c:pt idx="30">
                  <c:v>2.8000000000000012</c:v>
                </c:pt>
                <c:pt idx="31">
                  <c:v>2.9000000000000012</c:v>
                </c:pt>
                <c:pt idx="32">
                  <c:v>3.0000000000000013</c:v>
                </c:pt>
                <c:pt idx="33">
                  <c:v>3.1000000000000014</c:v>
                </c:pt>
                <c:pt idx="34">
                  <c:v>3.2000000000000015</c:v>
                </c:pt>
                <c:pt idx="35">
                  <c:v>3.3000000000000016</c:v>
                </c:pt>
                <c:pt idx="36">
                  <c:v>3.4000000000000017</c:v>
                </c:pt>
                <c:pt idx="37">
                  <c:v>3.5000000000000018</c:v>
                </c:pt>
                <c:pt idx="38">
                  <c:v>3.6000000000000019</c:v>
                </c:pt>
                <c:pt idx="39">
                  <c:v>3.700000000000002</c:v>
                </c:pt>
                <c:pt idx="40">
                  <c:v>3.800000000000002</c:v>
                </c:pt>
                <c:pt idx="41">
                  <c:v>3.9000000000000021</c:v>
                </c:pt>
                <c:pt idx="42">
                  <c:v>4.0000000000000018</c:v>
                </c:pt>
                <c:pt idx="43">
                  <c:v>4.1000000000000014</c:v>
                </c:pt>
                <c:pt idx="44">
                  <c:v>4.2000000000000011</c:v>
                </c:pt>
                <c:pt idx="45">
                  <c:v>4.3000000000000007</c:v>
                </c:pt>
                <c:pt idx="46">
                  <c:v>4.4000000000000004</c:v>
                </c:pt>
                <c:pt idx="47">
                  <c:v>4.5</c:v>
                </c:pt>
                <c:pt idx="48">
                  <c:v>4.5999999999999996</c:v>
                </c:pt>
                <c:pt idx="49">
                  <c:v>4.6999999999999993</c:v>
                </c:pt>
                <c:pt idx="50">
                  <c:v>4.7999999999999989</c:v>
                </c:pt>
                <c:pt idx="51">
                  <c:v>4.8999999999999986</c:v>
                </c:pt>
                <c:pt idx="52">
                  <c:v>4.9999999999999982</c:v>
                </c:pt>
                <c:pt idx="53">
                  <c:v>5.0999999999999979</c:v>
                </c:pt>
                <c:pt idx="54">
                  <c:v>5.1999999999999975</c:v>
                </c:pt>
                <c:pt idx="55">
                  <c:v>5.2999999999999972</c:v>
                </c:pt>
                <c:pt idx="56">
                  <c:v>5.3999999999999968</c:v>
                </c:pt>
                <c:pt idx="57">
                  <c:v>5.4999999999999964</c:v>
                </c:pt>
                <c:pt idx="58">
                  <c:v>5.5999999999999961</c:v>
                </c:pt>
                <c:pt idx="59">
                  <c:v>5.6999999999999957</c:v>
                </c:pt>
                <c:pt idx="60">
                  <c:v>5.7999999999999954</c:v>
                </c:pt>
                <c:pt idx="61">
                  <c:v>5.899999999999995</c:v>
                </c:pt>
                <c:pt idx="62">
                  <c:v>5.9999999999999947</c:v>
                </c:pt>
                <c:pt idx="63">
                  <c:v>6.0999999999999943</c:v>
                </c:pt>
                <c:pt idx="64">
                  <c:v>6.199999999999994</c:v>
                </c:pt>
                <c:pt idx="65">
                  <c:v>6.2999999999999936</c:v>
                </c:pt>
                <c:pt idx="66">
                  <c:v>6.3999999999999932</c:v>
                </c:pt>
                <c:pt idx="67">
                  <c:v>6.4999999999999929</c:v>
                </c:pt>
                <c:pt idx="68">
                  <c:v>6.5999999999999925</c:v>
                </c:pt>
                <c:pt idx="69">
                  <c:v>6.6999999999999922</c:v>
                </c:pt>
                <c:pt idx="70">
                  <c:v>6.7999999999999918</c:v>
                </c:pt>
                <c:pt idx="71">
                  <c:v>6.8999999999999915</c:v>
                </c:pt>
                <c:pt idx="72">
                  <c:v>6.9999999999999911</c:v>
                </c:pt>
                <c:pt idx="73">
                  <c:v>7.0999999999999908</c:v>
                </c:pt>
                <c:pt idx="74">
                  <c:v>7.1999999999999904</c:v>
                </c:pt>
                <c:pt idx="75">
                  <c:v>7.2999999999999901</c:v>
                </c:pt>
                <c:pt idx="76">
                  <c:v>7.3999999999999897</c:v>
                </c:pt>
                <c:pt idx="77">
                  <c:v>7.4999999999999893</c:v>
                </c:pt>
                <c:pt idx="78">
                  <c:v>7.599999999999989</c:v>
                </c:pt>
                <c:pt idx="79">
                  <c:v>7.6999999999999886</c:v>
                </c:pt>
                <c:pt idx="80">
                  <c:v>7.7999999999999883</c:v>
                </c:pt>
                <c:pt idx="81">
                  <c:v>7.8999999999999879</c:v>
                </c:pt>
                <c:pt idx="82">
                  <c:v>7.9999999999999876</c:v>
                </c:pt>
                <c:pt idx="83">
                  <c:v>8.0999999999999872</c:v>
                </c:pt>
                <c:pt idx="84">
                  <c:v>8.1999999999999869</c:v>
                </c:pt>
                <c:pt idx="85">
                  <c:v>8.2999999999999865</c:v>
                </c:pt>
                <c:pt idx="86">
                  <c:v>8.3999999999999861</c:v>
                </c:pt>
                <c:pt idx="87">
                  <c:v>8.4999999999999858</c:v>
                </c:pt>
                <c:pt idx="88">
                  <c:v>8.5999999999999854</c:v>
                </c:pt>
                <c:pt idx="89">
                  <c:v>8.6999999999999851</c:v>
                </c:pt>
                <c:pt idx="90">
                  <c:v>8.7999999999999847</c:v>
                </c:pt>
                <c:pt idx="91">
                  <c:v>8.8999999999999844</c:v>
                </c:pt>
                <c:pt idx="92">
                  <c:v>8.999999999999984</c:v>
                </c:pt>
                <c:pt idx="93">
                  <c:v>9.0999999999999837</c:v>
                </c:pt>
                <c:pt idx="94">
                  <c:v>9.1999999999999833</c:v>
                </c:pt>
                <c:pt idx="95">
                  <c:v>9.2999999999999829</c:v>
                </c:pt>
                <c:pt idx="96">
                  <c:v>9.3999999999999826</c:v>
                </c:pt>
                <c:pt idx="97">
                  <c:v>9.4999999999999822</c:v>
                </c:pt>
                <c:pt idx="98">
                  <c:v>9.5999999999999819</c:v>
                </c:pt>
                <c:pt idx="99">
                  <c:v>9.6999999999999815</c:v>
                </c:pt>
                <c:pt idx="100">
                  <c:v>9.7999999999999812</c:v>
                </c:pt>
                <c:pt idx="101">
                  <c:v>9.8999999999999808</c:v>
                </c:pt>
                <c:pt idx="102">
                  <c:v>9.9999999999999805</c:v>
                </c:pt>
                <c:pt idx="103">
                  <c:v>10.09999999999998</c:v>
                </c:pt>
                <c:pt idx="104">
                  <c:v>10.19999999999998</c:v>
                </c:pt>
                <c:pt idx="105">
                  <c:v>10.299999999999979</c:v>
                </c:pt>
                <c:pt idx="106">
                  <c:v>10.399999999999979</c:v>
                </c:pt>
                <c:pt idx="107">
                  <c:v>10.499999999999979</c:v>
                </c:pt>
                <c:pt idx="108">
                  <c:v>10.599999999999978</c:v>
                </c:pt>
                <c:pt idx="109">
                  <c:v>10.699999999999978</c:v>
                </c:pt>
                <c:pt idx="110">
                  <c:v>10.799999999999978</c:v>
                </c:pt>
                <c:pt idx="111">
                  <c:v>10.899999999999977</c:v>
                </c:pt>
                <c:pt idx="112">
                  <c:v>10.999999999999977</c:v>
                </c:pt>
                <c:pt idx="113">
                  <c:v>11.099999999999977</c:v>
                </c:pt>
                <c:pt idx="114">
                  <c:v>11.199999999999976</c:v>
                </c:pt>
                <c:pt idx="115">
                  <c:v>11.299999999999976</c:v>
                </c:pt>
                <c:pt idx="116">
                  <c:v>11.399999999999975</c:v>
                </c:pt>
                <c:pt idx="117">
                  <c:v>11.499999999999975</c:v>
                </c:pt>
                <c:pt idx="118">
                  <c:v>11.599999999999975</c:v>
                </c:pt>
                <c:pt idx="119">
                  <c:v>11.699999999999974</c:v>
                </c:pt>
                <c:pt idx="120">
                  <c:v>11.799999999999974</c:v>
                </c:pt>
                <c:pt idx="121">
                  <c:v>11.899999999999974</c:v>
                </c:pt>
                <c:pt idx="122">
                  <c:v>11.999999999999973</c:v>
                </c:pt>
                <c:pt idx="123">
                  <c:v>12.099999999999973</c:v>
                </c:pt>
                <c:pt idx="124">
                  <c:v>12.199999999999973</c:v>
                </c:pt>
                <c:pt idx="125">
                  <c:v>12.299999999999972</c:v>
                </c:pt>
                <c:pt idx="126">
                  <c:v>12.399999999999972</c:v>
                </c:pt>
                <c:pt idx="127">
                  <c:v>12.499999999999972</c:v>
                </c:pt>
                <c:pt idx="128">
                  <c:v>12.599999999999971</c:v>
                </c:pt>
                <c:pt idx="129">
                  <c:v>12.699999999999971</c:v>
                </c:pt>
                <c:pt idx="130">
                  <c:v>12.799999999999971</c:v>
                </c:pt>
                <c:pt idx="131">
                  <c:v>12.89999999999997</c:v>
                </c:pt>
                <c:pt idx="132">
                  <c:v>12.99999999999997</c:v>
                </c:pt>
                <c:pt idx="133">
                  <c:v>13.099999999999969</c:v>
                </c:pt>
                <c:pt idx="134">
                  <c:v>13.199999999999969</c:v>
                </c:pt>
                <c:pt idx="135">
                  <c:v>13.299999999999969</c:v>
                </c:pt>
                <c:pt idx="136">
                  <c:v>13.399999999999968</c:v>
                </c:pt>
                <c:pt idx="137">
                  <c:v>13.499999999999968</c:v>
                </c:pt>
                <c:pt idx="138">
                  <c:v>13.599999999999968</c:v>
                </c:pt>
                <c:pt idx="139">
                  <c:v>13.699999999999967</c:v>
                </c:pt>
                <c:pt idx="140">
                  <c:v>13.799999999999967</c:v>
                </c:pt>
                <c:pt idx="141">
                  <c:v>13.899999999999967</c:v>
                </c:pt>
                <c:pt idx="142">
                  <c:v>13.999999999999966</c:v>
                </c:pt>
                <c:pt idx="143">
                  <c:v>14.099999999999966</c:v>
                </c:pt>
                <c:pt idx="144">
                  <c:v>14.199999999999966</c:v>
                </c:pt>
                <c:pt idx="145">
                  <c:v>14.299999999999965</c:v>
                </c:pt>
                <c:pt idx="146">
                  <c:v>14.399999999999965</c:v>
                </c:pt>
                <c:pt idx="147">
                  <c:v>14.499999999999964</c:v>
                </c:pt>
                <c:pt idx="148">
                  <c:v>14.599999999999964</c:v>
                </c:pt>
                <c:pt idx="149">
                  <c:v>14.699999999999964</c:v>
                </c:pt>
                <c:pt idx="150">
                  <c:v>14.799999999999963</c:v>
                </c:pt>
                <c:pt idx="151">
                  <c:v>14.899999999999963</c:v>
                </c:pt>
                <c:pt idx="152">
                  <c:v>14.999999999999963</c:v>
                </c:pt>
                <c:pt idx="153">
                  <c:v>15.099999999999962</c:v>
                </c:pt>
                <c:pt idx="154">
                  <c:v>15.199999999999962</c:v>
                </c:pt>
                <c:pt idx="155">
                  <c:v>15.299999999999962</c:v>
                </c:pt>
                <c:pt idx="156">
                  <c:v>15.399999999999961</c:v>
                </c:pt>
                <c:pt idx="157">
                  <c:v>15.499999999999961</c:v>
                </c:pt>
                <c:pt idx="158">
                  <c:v>15.599999999999961</c:v>
                </c:pt>
                <c:pt idx="159">
                  <c:v>15.69999999999996</c:v>
                </c:pt>
                <c:pt idx="160">
                  <c:v>15.79999999999996</c:v>
                </c:pt>
                <c:pt idx="161">
                  <c:v>15.899999999999959</c:v>
                </c:pt>
                <c:pt idx="162">
                  <c:v>15.999999999999959</c:v>
                </c:pt>
                <c:pt idx="163">
                  <c:v>16.099999999999959</c:v>
                </c:pt>
                <c:pt idx="164">
                  <c:v>16.19999999999996</c:v>
                </c:pt>
                <c:pt idx="165">
                  <c:v>16.299999999999962</c:v>
                </c:pt>
                <c:pt idx="166">
                  <c:v>16.399999999999963</c:v>
                </c:pt>
                <c:pt idx="167">
                  <c:v>16.499999999999964</c:v>
                </c:pt>
                <c:pt idx="168">
                  <c:v>16.599999999999966</c:v>
                </c:pt>
                <c:pt idx="169">
                  <c:v>16.699999999999967</c:v>
                </c:pt>
                <c:pt idx="170">
                  <c:v>16.799999999999969</c:v>
                </c:pt>
                <c:pt idx="171">
                  <c:v>16.89999999999997</c:v>
                </c:pt>
                <c:pt idx="172">
                  <c:v>16.999999999999972</c:v>
                </c:pt>
                <c:pt idx="173">
                  <c:v>17.099999999999973</c:v>
                </c:pt>
                <c:pt idx="174">
                  <c:v>17.199999999999974</c:v>
                </c:pt>
                <c:pt idx="175">
                  <c:v>17.299999999999976</c:v>
                </c:pt>
                <c:pt idx="176">
                  <c:v>17.399999999999977</c:v>
                </c:pt>
                <c:pt idx="177">
                  <c:v>17.499999999999979</c:v>
                </c:pt>
                <c:pt idx="178">
                  <c:v>17.59999999999998</c:v>
                </c:pt>
                <c:pt idx="179">
                  <c:v>17.699999999999982</c:v>
                </c:pt>
                <c:pt idx="180">
                  <c:v>17.799999999999983</c:v>
                </c:pt>
                <c:pt idx="181">
                  <c:v>17.899999999999984</c:v>
                </c:pt>
                <c:pt idx="182">
                  <c:v>17.999999999999986</c:v>
                </c:pt>
                <c:pt idx="183">
                  <c:v>18.099999999999987</c:v>
                </c:pt>
                <c:pt idx="184">
                  <c:v>18.199999999999989</c:v>
                </c:pt>
                <c:pt idx="185">
                  <c:v>18.29999999999999</c:v>
                </c:pt>
                <c:pt idx="186">
                  <c:v>18.399999999999991</c:v>
                </c:pt>
                <c:pt idx="187">
                  <c:v>18.499999999999993</c:v>
                </c:pt>
                <c:pt idx="188">
                  <c:v>18.599999999999994</c:v>
                </c:pt>
                <c:pt idx="189">
                  <c:v>18.699999999999996</c:v>
                </c:pt>
                <c:pt idx="190">
                  <c:v>18.799999999999997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19.100000000000001</c:v>
                </c:pt>
                <c:pt idx="194">
                  <c:v>19.200000000000003</c:v>
                </c:pt>
                <c:pt idx="195">
                  <c:v>19.300000000000004</c:v>
                </c:pt>
                <c:pt idx="196">
                  <c:v>19.400000000000006</c:v>
                </c:pt>
                <c:pt idx="197">
                  <c:v>19.500000000000007</c:v>
                </c:pt>
                <c:pt idx="198">
                  <c:v>19.600000000000009</c:v>
                </c:pt>
                <c:pt idx="199">
                  <c:v>19.70000000000001</c:v>
                </c:pt>
                <c:pt idx="200">
                  <c:v>19.800000000000011</c:v>
                </c:pt>
                <c:pt idx="201">
                  <c:v>19.900000000000013</c:v>
                </c:pt>
                <c:pt idx="202">
                  <c:v>20.000000000000014</c:v>
                </c:pt>
                <c:pt idx="203">
                  <c:v>20.100000000000016</c:v>
                </c:pt>
                <c:pt idx="204">
                  <c:v>20.200000000000017</c:v>
                </c:pt>
                <c:pt idx="205">
                  <c:v>20.300000000000018</c:v>
                </c:pt>
                <c:pt idx="206">
                  <c:v>20.40000000000002</c:v>
                </c:pt>
                <c:pt idx="207">
                  <c:v>20.500000000000021</c:v>
                </c:pt>
                <c:pt idx="208">
                  <c:v>20.600000000000023</c:v>
                </c:pt>
                <c:pt idx="209">
                  <c:v>20.700000000000024</c:v>
                </c:pt>
                <c:pt idx="210">
                  <c:v>20.800000000000026</c:v>
                </c:pt>
                <c:pt idx="211">
                  <c:v>20.900000000000027</c:v>
                </c:pt>
                <c:pt idx="212">
                  <c:v>21.000000000000028</c:v>
                </c:pt>
                <c:pt idx="213">
                  <c:v>21.10000000000003</c:v>
                </c:pt>
                <c:pt idx="214">
                  <c:v>21.200000000000031</c:v>
                </c:pt>
                <c:pt idx="215">
                  <c:v>21.300000000000033</c:v>
                </c:pt>
                <c:pt idx="216">
                  <c:v>21.400000000000034</c:v>
                </c:pt>
                <c:pt idx="217">
                  <c:v>21.500000000000036</c:v>
                </c:pt>
                <c:pt idx="218">
                  <c:v>21.600000000000037</c:v>
                </c:pt>
                <c:pt idx="219">
                  <c:v>21.700000000000038</c:v>
                </c:pt>
                <c:pt idx="220">
                  <c:v>21.80000000000004</c:v>
                </c:pt>
                <c:pt idx="221">
                  <c:v>21.900000000000041</c:v>
                </c:pt>
                <c:pt idx="222">
                  <c:v>22.000000000000043</c:v>
                </c:pt>
                <c:pt idx="223">
                  <c:v>22.100000000000044</c:v>
                </c:pt>
                <c:pt idx="224">
                  <c:v>22.200000000000045</c:v>
                </c:pt>
                <c:pt idx="225">
                  <c:v>22.300000000000047</c:v>
                </c:pt>
                <c:pt idx="226">
                  <c:v>22.400000000000048</c:v>
                </c:pt>
                <c:pt idx="227">
                  <c:v>22.50000000000005</c:v>
                </c:pt>
                <c:pt idx="228">
                  <c:v>22.600000000000051</c:v>
                </c:pt>
                <c:pt idx="229">
                  <c:v>22.700000000000053</c:v>
                </c:pt>
                <c:pt idx="230">
                  <c:v>22.800000000000054</c:v>
                </c:pt>
                <c:pt idx="231">
                  <c:v>22.900000000000055</c:v>
                </c:pt>
                <c:pt idx="232">
                  <c:v>23.000000000000057</c:v>
                </c:pt>
                <c:pt idx="233">
                  <c:v>23.100000000000058</c:v>
                </c:pt>
                <c:pt idx="234">
                  <c:v>23.20000000000006</c:v>
                </c:pt>
                <c:pt idx="235">
                  <c:v>23.300000000000061</c:v>
                </c:pt>
                <c:pt idx="236">
                  <c:v>23.400000000000063</c:v>
                </c:pt>
                <c:pt idx="237">
                  <c:v>23.500000000000064</c:v>
                </c:pt>
                <c:pt idx="238">
                  <c:v>23.600000000000065</c:v>
                </c:pt>
                <c:pt idx="239">
                  <c:v>23.700000000000067</c:v>
                </c:pt>
                <c:pt idx="240">
                  <c:v>23.800000000000068</c:v>
                </c:pt>
                <c:pt idx="241">
                  <c:v>23.90000000000007</c:v>
                </c:pt>
                <c:pt idx="242">
                  <c:v>24.000000000000071</c:v>
                </c:pt>
                <c:pt idx="243">
                  <c:v>24.100000000000072</c:v>
                </c:pt>
                <c:pt idx="244">
                  <c:v>24.200000000000074</c:v>
                </c:pt>
                <c:pt idx="245">
                  <c:v>24.300000000000075</c:v>
                </c:pt>
                <c:pt idx="246">
                  <c:v>24.400000000000077</c:v>
                </c:pt>
                <c:pt idx="247">
                  <c:v>24.500000000000078</c:v>
                </c:pt>
                <c:pt idx="248">
                  <c:v>24.60000000000008</c:v>
                </c:pt>
                <c:pt idx="249">
                  <c:v>24.700000000000081</c:v>
                </c:pt>
                <c:pt idx="250">
                  <c:v>24.800000000000082</c:v>
                </c:pt>
                <c:pt idx="251">
                  <c:v>24.900000000000084</c:v>
                </c:pt>
                <c:pt idx="252">
                  <c:v>25.000000000000085</c:v>
                </c:pt>
                <c:pt idx="253">
                  <c:v>25.100000000000087</c:v>
                </c:pt>
                <c:pt idx="254">
                  <c:v>25.200000000000088</c:v>
                </c:pt>
                <c:pt idx="255">
                  <c:v>25.30000000000009</c:v>
                </c:pt>
                <c:pt idx="256">
                  <c:v>25.400000000000091</c:v>
                </c:pt>
                <c:pt idx="257">
                  <c:v>25.500000000000092</c:v>
                </c:pt>
                <c:pt idx="258">
                  <c:v>25.600000000000094</c:v>
                </c:pt>
                <c:pt idx="259">
                  <c:v>25.700000000000095</c:v>
                </c:pt>
                <c:pt idx="260">
                  <c:v>25.800000000000097</c:v>
                </c:pt>
                <c:pt idx="261">
                  <c:v>25.900000000000098</c:v>
                </c:pt>
                <c:pt idx="262">
                  <c:v>26.000000000000099</c:v>
                </c:pt>
                <c:pt idx="263">
                  <c:v>26.100000000000101</c:v>
                </c:pt>
                <c:pt idx="264">
                  <c:v>26.200000000000102</c:v>
                </c:pt>
                <c:pt idx="265">
                  <c:v>26.300000000000104</c:v>
                </c:pt>
                <c:pt idx="266">
                  <c:v>26.400000000000105</c:v>
                </c:pt>
                <c:pt idx="267">
                  <c:v>26.500000000000107</c:v>
                </c:pt>
                <c:pt idx="268">
                  <c:v>26.600000000000108</c:v>
                </c:pt>
                <c:pt idx="269">
                  <c:v>26.700000000000109</c:v>
                </c:pt>
                <c:pt idx="270">
                  <c:v>26.800000000000111</c:v>
                </c:pt>
                <c:pt idx="271">
                  <c:v>26.900000000000112</c:v>
                </c:pt>
                <c:pt idx="272">
                  <c:v>27.000000000000114</c:v>
                </c:pt>
                <c:pt idx="273">
                  <c:v>27.100000000000115</c:v>
                </c:pt>
                <c:pt idx="274">
                  <c:v>27.200000000000117</c:v>
                </c:pt>
                <c:pt idx="275">
                  <c:v>27.300000000000118</c:v>
                </c:pt>
                <c:pt idx="276">
                  <c:v>27.400000000000119</c:v>
                </c:pt>
                <c:pt idx="277">
                  <c:v>27.500000000000121</c:v>
                </c:pt>
                <c:pt idx="278">
                  <c:v>27.600000000000122</c:v>
                </c:pt>
                <c:pt idx="279">
                  <c:v>27.700000000000124</c:v>
                </c:pt>
                <c:pt idx="280">
                  <c:v>27.800000000000125</c:v>
                </c:pt>
                <c:pt idx="281">
                  <c:v>27.900000000000126</c:v>
                </c:pt>
                <c:pt idx="282">
                  <c:v>28.000000000000128</c:v>
                </c:pt>
                <c:pt idx="283">
                  <c:v>28.100000000000129</c:v>
                </c:pt>
                <c:pt idx="284">
                  <c:v>28.200000000000131</c:v>
                </c:pt>
                <c:pt idx="285">
                  <c:v>28.300000000000132</c:v>
                </c:pt>
                <c:pt idx="286">
                  <c:v>28.400000000000134</c:v>
                </c:pt>
                <c:pt idx="287">
                  <c:v>28.500000000000135</c:v>
                </c:pt>
                <c:pt idx="288">
                  <c:v>28.600000000000136</c:v>
                </c:pt>
                <c:pt idx="289">
                  <c:v>28.700000000000138</c:v>
                </c:pt>
                <c:pt idx="290">
                  <c:v>28.800000000000139</c:v>
                </c:pt>
                <c:pt idx="291">
                  <c:v>28.900000000000141</c:v>
                </c:pt>
                <c:pt idx="292">
                  <c:v>29.000000000000142</c:v>
                </c:pt>
                <c:pt idx="293">
                  <c:v>29.100000000000144</c:v>
                </c:pt>
                <c:pt idx="294">
                  <c:v>29.200000000000145</c:v>
                </c:pt>
                <c:pt idx="295">
                  <c:v>29.300000000000146</c:v>
                </c:pt>
                <c:pt idx="296">
                  <c:v>29.400000000000148</c:v>
                </c:pt>
                <c:pt idx="297">
                  <c:v>29.500000000000149</c:v>
                </c:pt>
                <c:pt idx="298">
                  <c:v>29.600000000000151</c:v>
                </c:pt>
                <c:pt idx="299">
                  <c:v>29.700000000000152</c:v>
                </c:pt>
                <c:pt idx="300">
                  <c:v>29.800000000000153</c:v>
                </c:pt>
                <c:pt idx="301">
                  <c:v>29.900000000000155</c:v>
                </c:pt>
                <c:pt idx="302">
                  <c:v>30.000000000000156</c:v>
                </c:pt>
                <c:pt idx="303">
                  <c:v>30.100000000000158</c:v>
                </c:pt>
                <c:pt idx="304">
                  <c:v>30.200000000000159</c:v>
                </c:pt>
                <c:pt idx="305">
                  <c:v>30.300000000000161</c:v>
                </c:pt>
                <c:pt idx="306">
                  <c:v>30.400000000000162</c:v>
                </c:pt>
                <c:pt idx="307">
                  <c:v>30.500000000000163</c:v>
                </c:pt>
                <c:pt idx="308">
                  <c:v>30.600000000000165</c:v>
                </c:pt>
                <c:pt idx="309">
                  <c:v>30.700000000000166</c:v>
                </c:pt>
                <c:pt idx="310">
                  <c:v>30.800000000000168</c:v>
                </c:pt>
                <c:pt idx="311">
                  <c:v>30.900000000000169</c:v>
                </c:pt>
                <c:pt idx="312">
                  <c:v>31.000000000000171</c:v>
                </c:pt>
                <c:pt idx="313">
                  <c:v>31.100000000000172</c:v>
                </c:pt>
                <c:pt idx="314">
                  <c:v>31.200000000000173</c:v>
                </c:pt>
                <c:pt idx="315">
                  <c:v>31.300000000000175</c:v>
                </c:pt>
                <c:pt idx="316">
                  <c:v>31.400000000000176</c:v>
                </c:pt>
                <c:pt idx="317">
                  <c:v>31.500000000000178</c:v>
                </c:pt>
                <c:pt idx="318">
                  <c:v>31.600000000000179</c:v>
                </c:pt>
                <c:pt idx="319">
                  <c:v>31.70000000000018</c:v>
                </c:pt>
                <c:pt idx="320">
                  <c:v>31.800000000000182</c:v>
                </c:pt>
                <c:pt idx="321">
                  <c:v>31.900000000000183</c:v>
                </c:pt>
                <c:pt idx="322">
                  <c:v>32</c:v>
                </c:pt>
              </c:numCache>
            </c:numRef>
          </c:xVal>
          <c:yVal>
            <c:numRef>
              <c:f>'Feste Fahrbahn'!$N$9:$N$331</c:f>
              <c:numCache>
                <c:formatCode>0.00</c:formatCode>
                <c:ptCount val="323"/>
                <c:pt idx="0">
                  <c:v>3.4876656657026107E-7</c:v>
                </c:pt>
                <c:pt idx="1">
                  <c:v>5.0213688242264105E-7</c:v>
                </c:pt>
                <c:pt idx="2">
                  <c:v>6.7805539059196812E-7</c:v>
                </c:pt>
                <c:pt idx="3">
                  <c:v>8.7768126158273217E-7</c:v>
                </c:pt>
                <c:pt idx="4">
                  <c:v>3.4876656657026107E-7</c:v>
                </c:pt>
                <c:pt idx="5">
                  <c:v>1.1019236235770075E-6</c:v>
                </c:pt>
                <c:pt idx="6">
                  <c:v>1.3513683185655422E-6</c:v>
                </c:pt>
                <c:pt idx="7">
                  <c:v>1.6261956531525635E-6</c:v>
                </c:pt>
                <c:pt idx="8">
                  <c:v>1.9260889342744607E-6</c:v>
                </c:pt>
                <c:pt idx="9">
                  <c:v>3.4876656657026107E-7</c:v>
                </c:pt>
                <c:pt idx="10">
                  <c:v>2.2501337293158579E-6</c:v>
                </c:pt>
                <c:pt idx="11">
                  <c:v>2.5967079728870457E-6</c:v>
                </c:pt>
                <c:pt idx="12">
                  <c:v>2.9633632622338863E-6</c:v>
                </c:pt>
                <c:pt idx="13">
                  <c:v>3.3466979432272E-6</c:v>
                </c:pt>
                <c:pt idx="14">
                  <c:v>3.7422228923381986E-6</c:v>
                </c:pt>
                <c:pt idx="15">
                  <c:v>4.1442212499409235E-6</c:v>
                </c:pt>
                <c:pt idx="16">
                  <c:v>4.545603759348537E-6</c:v>
                </c:pt>
                <c:pt idx="17">
                  <c:v>4.937761816380139E-6</c:v>
                </c:pt>
                <c:pt idx="18">
                  <c:v>5.3104208375535412E-6</c:v>
                </c:pt>
                <c:pt idx="19">
                  <c:v>5.6514971120139198E-6</c:v>
                </c:pt>
                <c:pt idx="20">
                  <c:v>5.946961912889531E-6</c:v>
                </c:pt>
                <c:pt idx="21">
                  <c:v>6.1807173065975342E-6</c:v>
                </c:pt>
                <c:pt idx="22">
                  <c:v>6.3344888110042973E-6</c:v>
                </c:pt>
                <c:pt idx="23">
                  <c:v>6.3877408109430546E-6</c:v>
                </c:pt>
                <c:pt idx="24">
                  <c:v>6.3176214361838855E-6</c:v>
                </c:pt>
                <c:pt idx="25">
                  <c:v>6.0989444341431572E-6</c:v>
                </c:pt>
                <c:pt idx="26">
                  <c:v>5.7042164165627287E-6</c:v>
                </c:pt>
                <c:pt idx="27">
                  <c:v>5.1037187124642664E-6</c:v>
                </c:pt>
                <c:pt idx="28">
                  <c:v>4.2656539022075751E-6</c:v>
                </c:pt>
                <c:pt idx="29">
                  <c:v>3.1563679193776553E-6</c:v>
                </c:pt>
                <c:pt idx="30">
                  <c:v>1.7406593647358856E-6</c:v>
                </c:pt>
                <c:pt idx="31">
                  <c:v>-1.7811648162636207E-8</c:v>
                </c:pt>
                <c:pt idx="32">
                  <c:v>-2.1560022348696077E-6</c:v>
                </c:pt>
                <c:pt idx="33">
                  <c:v>-4.7108397781138242E-6</c:v>
                </c:pt>
                <c:pt idx="34">
                  <c:v>-7.7184357520832809E-6</c:v>
                </c:pt>
                <c:pt idx="35">
                  <c:v>-1.1213146842365826E-5</c:v>
                </c:pt>
                <c:pt idx="36">
                  <c:v>-1.5226470179461504E-5</c:v>
                </c:pt>
                <c:pt idx="37">
                  <c:v>-1.9785760157272168E-5</c:v>
                </c:pt>
                <c:pt idx="38">
                  <c:v>-2.4912755367261909E-5</c:v>
                </c:pt>
                <c:pt idx="39">
                  <c:v>-3.0621905709430662E-5</c:v>
                </c:pt>
                <c:pt idx="40">
                  <c:v>-3.691849181235875E-5</c:v>
                </c:pt>
                <c:pt idx="41">
                  <c:v>-4.3796531579502251E-5</c:v>
                </c:pt>
                <c:pt idx="42">
                  <c:v>-5.1236472053639181E-5</c:v>
                </c:pt>
                <c:pt idx="43">
                  <c:v>-5.9202668933701393E-5</c:v>
                </c:pt>
                <c:pt idx="44">
                  <c:v>-6.7640661066656585E-5</c:v>
                </c:pt>
                <c:pt idx="45">
                  <c:v>-7.6474253149160231E-5</c:v>
                </c:pt>
                <c:pt idx="46">
                  <c:v>-8.5602426784187009E-5</c:v>
                </c:pt>
                <c:pt idx="47">
                  <c:v>-9.4896108016679457E-5</c:v>
                </c:pt>
                <c:pt idx="48">
                  <c:v>-1.0419482858184527E-4</c:v>
                </c:pt>
                <c:pt idx="49">
                  <c:v>-1.1330332839216483E-4</c:v>
                </c:pt>
                <c:pt idx="50">
                  <c:v>-1.2198815830278052E-4</c:v>
                </c:pt>
                <c:pt idx="51">
                  <c:v>-1.2997435495055407E-4</c:v>
                </c:pt>
                <c:pt idx="52">
                  <c:v>-1.3694227345882845E-4</c:v>
                </c:pt>
                <c:pt idx="53">
                  <c:v>-1.4252467901054302E-4</c:v>
                </c:pt>
                <c:pt idx="54">
                  <c:v>-1.4630421465798872E-4</c:v>
                </c:pt>
                <c:pt idx="55">
                  <c:v>-1.4781138016228845E-4</c:v>
                </c:pt>
                <c:pt idx="56">
                  <c:v>-1.4652317500060141E-4</c:v>
                </c:pt>
                <c:pt idx="57">
                  <c:v>-1.418625777556256E-4</c:v>
                </c:pt>
                <c:pt idx="58">
                  <c:v>-1.3319905366554949E-4</c:v>
                </c:pt>
                <c:pt idx="59">
                  <c:v>-1.1985030185529754E-4</c:v>
                </c:pt>
                <c:pt idx="60">
                  <c:v>-1.0108547331364742E-4</c:v>
                </c:pt>
                <c:pt idx="61">
                  <c:v>-7.6130109569783901E-5</c:v>
                </c:pt>
                <c:pt idx="62">
                  <c:v>-4.4173069716799938E-5</c:v>
                </c:pt>
                <c:pt idx="63">
                  <c:v>-4.375729296586067E-6</c:v>
                </c:pt>
                <c:pt idx="64">
                  <c:v>4.4116252129501463E-5</c:v>
                </c:pt>
                <c:pt idx="65">
                  <c:v>1.0215828798052378E-4</c:v>
                </c:pt>
                <c:pt idx="66">
                  <c:v>1.7058903389651216E-4</c:v>
                </c:pt>
                <c:pt idx="67">
                  <c:v>2.5020905669124143E-4</c:v>
                </c:pt>
                <c:pt idx="68">
                  <c:v>3.4175569684646552E-4</c:v>
                </c:pt>
                <c:pt idx="69">
                  <c:v>4.4587383257392295E-4</c:v>
                </c:pt>
                <c:pt idx="70">
                  <c:v>5.6308227690230676E-4</c:v>
                </c:pt>
                <c:pt idx="71">
                  <c:v>6.9373557341244948E-4</c:v>
                </c:pt>
                <c:pt idx="72">
                  <c:v>8.3798100274412211E-4</c:v>
                </c:pt>
                <c:pt idx="73">
                  <c:v>9.9571067251612018E-4</c:v>
                </c:pt>
                <c:pt idx="74">
                  <c:v>1.1665086395900583E-3</c:v>
                </c:pt>
                <c:pt idx="75">
                  <c:v>1.3495931074652418E-3</c:v>
                </c:pt>
                <c:pt idx="76">
                  <c:v>1.5437538548327702E-3</c:v>
                </c:pt>
                <c:pt idx="77">
                  <c:v>1.7472851857402918E-3</c:v>
                </c:pt>
                <c:pt idx="78">
                  <c:v>1.9579148491648095E-3</c:v>
                </c:pt>
                <c:pt idx="79">
                  <c:v>2.1727295576917036E-3</c:v>
                </c:pt>
                <c:pt idx="80">
                  <c:v>2.3880979429207212E-3</c:v>
                </c:pt>
                <c:pt idx="81">
                  <c:v>2.5995920203976384E-3</c:v>
                </c:pt>
                <c:pt idx="82">
                  <c:v>2.8019085002297653E-3</c:v>
                </c:pt>
                <c:pt idx="83">
                  <c:v>2.9887915716139669E-3</c:v>
                </c:pt>
                <c:pt idx="84">
                  <c:v>3.1529591103269627E-3</c:v>
                </c:pt>
                <c:pt idx="85">
                  <c:v>3.2860346072386228E-3</c:v>
                </c:pt>
                <c:pt idx="86">
                  <c:v>3.3784874918342247E-3</c:v>
                </c:pt>
                <c:pt idx="87">
                  <c:v>3.4195849254499127E-3</c:v>
                </c:pt>
                <c:pt idx="88">
                  <c:v>3.3973585613356677E-3</c:v>
                </c:pt>
                <c:pt idx="89">
                  <c:v>3.2985902085295058E-3</c:v>
                </c:pt>
                <c:pt idx="90">
                  <c:v>3.1088207883432344E-3</c:v>
                </c:pt>
                <c:pt idx="91">
                  <c:v>2.8123874290634735E-3</c:v>
                </c:pt>
                <c:pt idx="92">
                  <c:v>2.3924939976959951E-3</c:v>
                </c:pt>
                <c:pt idx="93">
                  <c:v>1.8313208068817652E-3</c:v>
                </c:pt>
                <c:pt idx="94">
                  <c:v>1.1101796482038842E-3</c:v>
                </c:pt>
                <c:pt idx="95">
                  <c:v>2.0972067559819804E-4</c:v>
                </c:pt>
                <c:pt idx="96">
                  <c:v>-8.8980202216458004E-4</c:v>
                </c:pt>
                <c:pt idx="97">
                  <c:v>-2.2081990819686377E-3</c:v>
                </c:pt>
                <c:pt idx="98">
                  <c:v>-3.7649415406687536E-3</c:v>
                </c:pt>
                <c:pt idx="99">
                  <c:v>-5.5786762848156531E-3</c:v>
                </c:pt>
                <c:pt idx="100">
                  <c:v>-7.6666541667828499E-3</c:v>
                </c:pt>
                <c:pt idx="101">
                  <c:v>-1.0044063985780356E-2</c:v>
                </c:pt>
                <c:pt idx="102">
                  <c:v>-1.2723266049816386E-2</c:v>
                </c:pt>
                <c:pt idx="103">
                  <c:v>-1.5712919796809534E-2</c:v>
                </c:pt>
                <c:pt idx="104">
                  <c:v>-1.9017000996530288E-2</c:v>
                </c:pt>
                <c:pt idx="105">
                  <c:v>-2.2633705418637809E-2</c:v>
                </c:pt>
                <c:pt idx="106">
                  <c:v>-2.6554237576176237E-2</c:v>
                </c:pt>
                <c:pt idx="107">
                  <c:v>-3.0761485280024935E-2</c:v>
                </c:pt>
                <c:pt idx="108">
                  <c:v>-3.5228583309959267E-2</c:v>
                </c:pt>
                <c:pt idx="109">
                  <c:v>-3.9917372563885924E-2</c:v>
                </c:pt>
                <c:pt idx="110">
                  <c:v>-4.4776764628932382E-2</c:v>
                </c:pt>
                <c:pt idx="111">
                  <c:v>-4.9741025864495227E-2</c:v>
                </c:pt>
                <c:pt idx="112">
                  <c:v>-5.4727999832510393E-2</c:v>
                </c:pt>
                <c:pt idx="113">
                  <c:v>-5.9637292283317898E-2</c:v>
                </c:pt>
                <c:pt idx="114">
                  <c:v>-6.4348448928828683E-2</c:v>
                </c:pt>
                <c:pt idx="115">
                  <c:v>-6.8719162921624805E-2</c:v>
                </c:pt>
                <c:pt idx="116">
                  <c:v>-7.2583556311367772E-2</c:v>
                </c:pt>
                <c:pt idx="117">
                  <c:v>-7.5750587757117988E-2</c:v>
                </c:pt>
                <c:pt idx="118">
                  <c:v>-7.8002647408264666E-2</c:v>
                </c:pt>
                <c:pt idx="119">
                  <c:v>-7.9094409080919803E-2</c:v>
                </c:pt>
                <c:pt idx="120">
                  <c:v>-7.8752019581648874E-2</c:v>
                </c:pt>
                <c:pt idx="121">
                  <c:v>-7.6672715171379871E-2</c:v>
                </c:pt>
                <c:pt idx="122">
                  <c:v>-7.2524965595015103E-2</c:v>
                </c:pt>
                <c:pt idx="123">
                  <c:v>-6.5949256669431175E-2</c:v>
                </c:pt>
                <c:pt idx="124">
                  <c:v>-5.655963293012832E-2</c:v>
                </c:pt>
                <c:pt idx="125">
                  <c:v>-4.3946132050023561E-2</c:v>
                </c:pt>
                <c:pt idx="126">
                  <c:v>-2.7678252383484484E-2</c:v>
                </c:pt>
                <c:pt idx="127">
                  <c:v>-7.3096037271534256E-3</c:v>
                </c:pt>
                <c:pt idx="128">
                  <c:v>1.7616101152917136E-2</c:v>
                </c:pt>
                <c:pt idx="129">
                  <c:v>4.7557550935041E-2</c:v>
                </c:pt>
                <c:pt idx="130">
                  <c:v>8.2966669267190998E-2</c:v>
                </c:pt>
                <c:pt idx="131">
                  <c:v>0.12427760979607554</c:v>
                </c:pt>
                <c:pt idx="132">
                  <c:v>0.17189374768485643</c:v>
                </c:pt>
                <c:pt idx="133">
                  <c:v>0.22617250924175242</c:v>
                </c:pt>
                <c:pt idx="134">
                  <c:v>0.28740789269811573</c:v>
                </c:pt>
                <c:pt idx="135">
                  <c:v>0.35581055016175595</c:v>
                </c:pt>
                <c:pt idx="136">
                  <c:v>0.43148532417478475</c:v>
                </c:pt>
                <c:pt idx="137">
                  <c:v>0.51440616301775877</c:v>
                </c:pt>
                <c:pt idx="138">
                  <c:v>0.60438837785475941</c:v>
                </c:pt>
                <c:pt idx="139">
                  <c:v>0.70105825296590174</c:v>
                </c:pt>
                <c:pt idx="140">
                  <c:v>0.80382007863620897</c:v>
                </c:pt>
                <c:pt idx="141">
                  <c:v>0.91182074572972627</c:v>
                </c:pt>
                <c:pt idx="142">
                  <c:v>1.0239121225158161</c:v>
                </c:pt>
                <c:pt idx="143">
                  <c:v>1.1386115288197776</c:v>
                </c:pt>
                <c:pt idx="144">
                  <c:v>1.2540607308495708</c:v>
                </c:pt>
                <c:pt idx="145">
                  <c:v>1.3679840027954437</c:v>
                </c:pt>
                <c:pt idx="146">
                  <c:v>1.47764593904454</c:v>
                </c:pt>
                <c:pt idx="147">
                  <c:v>1.5798098539318304</c:v>
                </c:pt>
                <c:pt idx="148">
                  <c:v>1.670697774444009</c:v>
                </c:pt>
                <c:pt idx="149">
                  <c:v>1.7459532149786929</c:v>
                </c:pt>
                <c:pt idx="150">
                  <c:v>1.8006081215420275</c:v>
                </c:pt>
                <c:pt idx="151">
                  <c:v>1.8293350996754432</c:v>
                </c:pt>
                <c:pt idx="152">
                  <c:v>1.8325770340106349</c:v>
                </c:pt>
                <c:pt idx="153">
                  <c:v>1.8165365291095714</c:v>
                </c:pt>
                <c:pt idx="154">
                  <c:v>1.7870250098610838</c:v>
                </c:pt>
                <c:pt idx="155">
                  <c:v>1.7491887322015343</c:v>
                </c:pt>
                <c:pt idx="156">
                  <c:v>1.7075192883873116</c:v>
                </c:pt>
                <c:pt idx="157">
                  <c:v>1.6658672043549079</c:v>
                </c:pt>
                <c:pt idx="158">
                  <c:v>1.6274569815968367</c:v>
                </c:pt>
                <c:pt idx="159">
                  <c:v>1.5949021709259155</c:v>
                </c:pt>
                <c:pt idx="160">
                  <c:v>1.5702192950161711</c:v>
                </c:pt>
                <c:pt idx="161">
                  <c:v>1.5548396606702735</c:v>
                </c:pt>
                <c:pt idx="162">
                  <c:v>1.5496183207792082</c:v>
                </c:pt>
                <c:pt idx="163">
                  <c:v>1.5548396606702652</c:v>
                </c:pt>
                <c:pt idx="164">
                  <c:v>1.5702192950161553</c:v>
                </c:pt>
                <c:pt idx="165">
                  <c:v>1.5949021709258935</c:v>
                </c:pt>
                <c:pt idx="166">
                  <c:v>1.6274569815968101</c:v>
                </c:pt>
                <c:pt idx="167">
                  <c:v>1.6658672043548783</c:v>
                </c:pt>
                <c:pt idx="168">
                  <c:v>1.7075192883872818</c:v>
                </c:pt>
                <c:pt idx="169">
                  <c:v>1.7491887322015061</c:v>
                </c:pt>
                <c:pt idx="170">
                  <c:v>1.7870250098610607</c:v>
                </c:pt>
                <c:pt idx="171">
                  <c:v>1.8165365291095557</c:v>
                </c:pt>
                <c:pt idx="172">
                  <c:v>1.83257703401063</c:v>
                </c:pt>
                <c:pt idx="173">
                  <c:v>1.8293350996754523</c:v>
                </c:pt>
                <c:pt idx="174">
                  <c:v>1.8006081215420535</c:v>
                </c:pt>
                <c:pt idx="175">
                  <c:v>1.7459532149787316</c:v>
                </c:pt>
                <c:pt idx="176">
                  <c:v>1.6706977744440568</c:v>
                </c:pt>
                <c:pt idx="177">
                  <c:v>1.5798098539318837</c:v>
                </c:pt>
                <c:pt idx="178">
                  <c:v>1.4776459390445966</c:v>
                </c:pt>
                <c:pt idx="179">
                  <c:v>1.3679840027955015</c:v>
                </c:pt>
                <c:pt idx="180">
                  <c:v>1.2540607308496283</c:v>
                </c:pt>
                <c:pt idx="181">
                  <c:v>1.1386115288198331</c:v>
                </c:pt>
                <c:pt idx="182">
                  <c:v>1.0239121225158685</c:v>
                </c:pt>
                <c:pt idx="183">
                  <c:v>0.91182074572977523</c:v>
                </c:pt>
                <c:pt idx="184">
                  <c:v>0.80382007863625404</c:v>
                </c:pt>
                <c:pt idx="185">
                  <c:v>0.70105825296594271</c:v>
                </c:pt>
                <c:pt idx="186">
                  <c:v>0.60438837785479593</c:v>
                </c:pt>
                <c:pt idx="187">
                  <c:v>0.51440616301779085</c:v>
                </c:pt>
                <c:pt idx="188">
                  <c:v>0.431485324174813</c:v>
                </c:pt>
                <c:pt idx="189">
                  <c:v>0.35581055016178026</c:v>
                </c:pt>
                <c:pt idx="190">
                  <c:v>0.28740789269813644</c:v>
                </c:pt>
                <c:pt idx="191">
                  <c:v>0.22617250924176988</c:v>
                </c:pt>
                <c:pt idx="192">
                  <c:v>0.17189374768487095</c:v>
                </c:pt>
                <c:pt idx="193">
                  <c:v>0.12427760979608737</c:v>
                </c:pt>
                <c:pt idx="194">
                  <c:v>8.296666926720056E-2</c:v>
                </c:pt>
                <c:pt idx="195">
                  <c:v>4.755755093504855E-2</c:v>
                </c:pt>
                <c:pt idx="196">
                  <c:v>1.7616101152922888E-2</c:v>
                </c:pt>
                <c:pt idx="197">
                  <c:v>-7.3096037271490159E-3</c:v>
                </c:pt>
                <c:pt idx="198">
                  <c:v>-2.7678252383481244E-2</c:v>
                </c:pt>
                <c:pt idx="199">
                  <c:v>-4.3946132050021292E-2</c:v>
                </c:pt>
                <c:pt idx="200">
                  <c:v>-5.6559632930126787E-2</c:v>
                </c:pt>
                <c:pt idx="201">
                  <c:v>-6.5949256669430148E-2</c:v>
                </c:pt>
                <c:pt idx="202">
                  <c:v>-7.2524965595014507E-2</c:v>
                </c:pt>
                <c:pt idx="203">
                  <c:v>-7.6672715171379607E-2</c:v>
                </c:pt>
                <c:pt idx="204">
                  <c:v>-7.8752019581648777E-2</c:v>
                </c:pt>
                <c:pt idx="205">
                  <c:v>-7.9094409080919831E-2</c:v>
                </c:pt>
                <c:pt idx="206">
                  <c:v>-7.8002647408264708E-2</c:v>
                </c:pt>
                <c:pt idx="207">
                  <c:v>-7.5750587757118029E-2</c:v>
                </c:pt>
                <c:pt idx="208">
                  <c:v>-7.2583556311367772E-2</c:v>
                </c:pt>
                <c:pt idx="209">
                  <c:v>-6.8719162921624721E-2</c:v>
                </c:pt>
                <c:pt idx="210">
                  <c:v>-6.4348448928828517E-2</c:v>
                </c:pt>
                <c:pt idx="211">
                  <c:v>-5.9637292283317621E-2</c:v>
                </c:pt>
                <c:pt idx="212">
                  <c:v>-5.472799983251006E-2</c:v>
                </c:pt>
                <c:pt idx="213">
                  <c:v>-4.9741025864494789E-2</c:v>
                </c:pt>
                <c:pt idx="214">
                  <c:v>-4.4776764628931875E-2</c:v>
                </c:pt>
                <c:pt idx="215">
                  <c:v>-3.991737256388532E-2</c:v>
                </c:pt>
                <c:pt idx="216">
                  <c:v>-3.5228583309958643E-2</c:v>
                </c:pt>
                <c:pt idx="217">
                  <c:v>-3.0761485280024238E-2</c:v>
                </c:pt>
                <c:pt idx="218">
                  <c:v>-2.6554237576175529E-2</c:v>
                </c:pt>
                <c:pt idx="219">
                  <c:v>-2.2633705418637046E-2</c:v>
                </c:pt>
                <c:pt idx="220">
                  <c:v>-1.9017000996529566E-2</c:v>
                </c:pt>
                <c:pt idx="221">
                  <c:v>-1.5712919796808798E-2</c:v>
                </c:pt>
                <c:pt idx="222">
                  <c:v>-1.2723266049815692E-2</c:v>
                </c:pt>
                <c:pt idx="223">
                  <c:v>-1.0044063985779679E-2</c:v>
                </c:pt>
                <c:pt idx="224">
                  <c:v>-7.6666541667822089E-3</c:v>
                </c:pt>
                <c:pt idx="225">
                  <c:v>-5.5786762848150703E-3</c:v>
                </c:pt>
                <c:pt idx="226">
                  <c:v>-3.7649415406682198E-3</c:v>
                </c:pt>
                <c:pt idx="227">
                  <c:v>-2.208199081968155E-3</c:v>
                </c:pt>
                <c:pt idx="228">
                  <c:v>-8.8980202216415308E-4</c:v>
                </c:pt>
                <c:pt idx="229">
                  <c:v>2.097206755985691E-4</c:v>
                </c:pt>
                <c:pt idx="230">
                  <c:v>1.1101796482041991E-3</c:v>
                </c:pt>
                <c:pt idx="231">
                  <c:v>1.8313208068820176E-3</c:v>
                </c:pt>
                <c:pt idx="232">
                  <c:v>2.3924939976962033E-3</c:v>
                </c:pt>
                <c:pt idx="233">
                  <c:v>2.812387429063634E-3</c:v>
                </c:pt>
                <c:pt idx="234">
                  <c:v>3.1088207883433446E-3</c:v>
                </c:pt>
                <c:pt idx="235">
                  <c:v>3.2985902085295765E-3</c:v>
                </c:pt>
                <c:pt idx="236">
                  <c:v>3.397358561335692E-3</c:v>
                </c:pt>
                <c:pt idx="237">
                  <c:v>3.4195849254499114E-3</c:v>
                </c:pt>
                <c:pt idx="238">
                  <c:v>3.3784874918341822E-3</c:v>
                </c:pt>
                <c:pt idx="239">
                  <c:v>3.2860346072385634E-3</c:v>
                </c:pt>
                <c:pt idx="240">
                  <c:v>3.1529591103268756E-3</c:v>
                </c:pt>
                <c:pt idx="241">
                  <c:v>2.9887915716138641E-3</c:v>
                </c:pt>
                <c:pt idx="242">
                  <c:v>2.8019085002296438E-3</c:v>
                </c:pt>
                <c:pt idx="243">
                  <c:v>2.5995920203975096E-3</c:v>
                </c:pt>
                <c:pt idx="244">
                  <c:v>2.3880979429205828E-3</c:v>
                </c:pt>
                <c:pt idx="245">
                  <c:v>2.1727295576915622E-3</c:v>
                </c:pt>
                <c:pt idx="246">
                  <c:v>1.9579148491646625E-3</c:v>
                </c:pt>
                <c:pt idx="247">
                  <c:v>1.7472851857401478E-3</c:v>
                </c:pt>
                <c:pt idx="248">
                  <c:v>1.5437538548326276E-3</c:v>
                </c:pt>
                <c:pt idx="249">
                  <c:v>1.349593107465105E-3</c:v>
                </c:pt>
                <c:pt idx="250">
                  <c:v>1.1665086395899254E-3</c:v>
                </c:pt>
                <c:pt idx="251">
                  <c:v>9.9571067251599506E-4</c:v>
                </c:pt>
                <c:pt idx="252">
                  <c:v>8.3798100274400393E-4</c:v>
                </c:pt>
                <c:pt idx="253">
                  <c:v>6.9373557341233987E-4</c:v>
                </c:pt>
                <c:pt idx="254">
                  <c:v>5.6308227690220626E-4</c:v>
                </c:pt>
                <c:pt idx="255">
                  <c:v>4.4587383257383063E-4</c:v>
                </c:pt>
                <c:pt idx="256">
                  <c:v>3.4175569684638215E-4</c:v>
                </c:pt>
                <c:pt idx="257">
                  <c:v>2.5020905669116727E-4</c:v>
                </c:pt>
                <c:pt idx="258">
                  <c:v>1.7058903389644749E-4</c:v>
                </c:pt>
                <c:pt idx="259">
                  <c:v>1.0215828798046648E-4</c:v>
                </c:pt>
                <c:pt idx="260">
                  <c:v>4.4116252129452064E-5</c:v>
                </c:pt>
                <c:pt idx="261">
                  <c:v>-4.3757292966284144E-6</c:v>
                </c:pt>
                <c:pt idx="262">
                  <c:v>-4.4173069716833508E-5</c:v>
                </c:pt>
                <c:pt idx="263">
                  <c:v>-7.6130109569810966E-5</c:v>
                </c:pt>
                <c:pt idx="264">
                  <c:v>-1.0108547331366918E-4</c:v>
                </c:pt>
                <c:pt idx="265">
                  <c:v>-1.1985030185531398E-4</c:v>
                </c:pt>
                <c:pt idx="266">
                  <c:v>-1.3319905366556073E-4</c:v>
                </c:pt>
                <c:pt idx="267">
                  <c:v>-1.4186257775563248E-4</c:v>
                </c:pt>
                <c:pt idx="268">
                  <c:v>-1.4652317500060406E-4</c:v>
                </c:pt>
                <c:pt idx="269">
                  <c:v>-1.478113801622885E-4</c:v>
                </c:pt>
                <c:pt idx="270">
                  <c:v>-1.4630421465798574E-4</c:v>
                </c:pt>
                <c:pt idx="271">
                  <c:v>-1.4252467901053741E-4</c:v>
                </c:pt>
                <c:pt idx="272">
                  <c:v>-1.3694227345882132E-4</c:v>
                </c:pt>
                <c:pt idx="273">
                  <c:v>-1.2997435495054559E-4</c:v>
                </c:pt>
                <c:pt idx="274">
                  <c:v>-1.2198815830277062E-4</c:v>
                </c:pt>
                <c:pt idx="275">
                  <c:v>-1.1330332839215415E-4</c:v>
                </c:pt>
                <c:pt idx="276">
                  <c:v>-1.04194828581834E-4</c:v>
                </c:pt>
                <c:pt idx="277">
                  <c:v>-9.4896108016668114E-5</c:v>
                </c:pt>
                <c:pt idx="278">
                  <c:v>-8.5602426784175476E-5</c:v>
                </c:pt>
                <c:pt idx="279">
                  <c:v>-7.6474253149148765E-5</c:v>
                </c:pt>
                <c:pt idx="280">
                  <c:v>-6.7640661066645553E-5</c:v>
                </c:pt>
                <c:pt idx="281">
                  <c:v>-5.9202668933690802E-5</c:v>
                </c:pt>
                <c:pt idx="282">
                  <c:v>-5.1236472053629091E-5</c:v>
                </c:pt>
                <c:pt idx="283">
                  <c:v>-4.379653157949269E-5</c:v>
                </c:pt>
                <c:pt idx="284">
                  <c:v>-3.6918491812349771E-5</c:v>
                </c:pt>
                <c:pt idx="285">
                  <c:v>-3.0621905709422565E-5</c:v>
                </c:pt>
                <c:pt idx="286">
                  <c:v>-2.4912755367254529E-5</c:v>
                </c:pt>
                <c:pt idx="287">
                  <c:v>-1.978576015726549E-5</c:v>
                </c:pt>
                <c:pt idx="288">
                  <c:v>-1.5226470179455519E-5</c:v>
                </c:pt>
                <c:pt idx="289">
                  <c:v>-1.1213146842360461E-5</c:v>
                </c:pt>
                <c:pt idx="290">
                  <c:v>-7.7184357520786815E-6</c:v>
                </c:pt>
                <c:pt idx="291">
                  <c:v>-4.7108397781098008E-6</c:v>
                </c:pt>
                <c:pt idx="292">
                  <c:v>-2.1560022348662022E-6</c:v>
                </c:pt>
                <c:pt idx="293">
                  <c:v>-1.7811648159823035E-8</c:v>
                </c:pt>
                <c:pt idx="294">
                  <c:v>1.7406593647382109E-6</c:v>
                </c:pt>
                <c:pt idx="295">
                  <c:v>3.1563679193795264E-6</c:v>
                </c:pt>
                <c:pt idx="296">
                  <c:v>4.265653902209032E-6</c:v>
                </c:pt>
                <c:pt idx="297">
                  <c:v>5.103718712465382E-6</c:v>
                </c:pt>
                <c:pt idx="298">
                  <c:v>5.7042164165634791E-6</c:v>
                </c:pt>
                <c:pt idx="299">
                  <c:v>6.098944434143624E-6</c:v>
                </c:pt>
                <c:pt idx="300">
                  <c:v>6.3176214361840947E-6</c:v>
                </c:pt>
                <c:pt idx="301">
                  <c:v>6.3877408109430605E-6</c:v>
                </c:pt>
                <c:pt idx="302">
                  <c:v>6.3344888110041279E-6</c:v>
                </c:pt>
                <c:pt idx="303">
                  <c:v>6.1807173065972284E-6</c:v>
                </c:pt>
                <c:pt idx="304">
                  <c:v>5.9469619128890982E-6</c:v>
                </c:pt>
                <c:pt idx="305">
                  <c:v>5.6514971120133981E-6</c:v>
                </c:pt>
                <c:pt idx="306">
                  <c:v>5.3104208375529551E-6</c:v>
                </c:pt>
                <c:pt idx="307">
                  <c:v>4.9377618163795046E-6</c:v>
                </c:pt>
                <c:pt idx="308">
                  <c:v>4.5456037593478594E-6</c:v>
                </c:pt>
                <c:pt idx="309">
                  <c:v>4.1442212499402442E-6</c:v>
                </c:pt>
                <c:pt idx="310">
                  <c:v>3.7422228923375235E-6</c:v>
                </c:pt>
                <c:pt idx="311">
                  <c:v>3.3466979432265414E-6</c:v>
                </c:pt>
                <c:pt idx="312">
                  <c:v>2.9633632622332384E-6</c:v>
                </c:pt>
                <c:pt idx="313">
                  <c:v>2.596707972886421E-6</c:v>
                </c:pt>
                <c:pt idx="314">
                  <c:v>2.2501337293152704E-6</c:v>
                </c:pt>
                <c:pt idx="315">
                  <c:v>1.926088934273913E-6</c:v>
                </c:pt>
                <c:pt idx="316">
                  <c:v>1.6261956531520479E-6</c:v>
                </c:pt>
                <c:pt idx="317">
                  <c:v>1.3513683185650728E-6</c:v>
                </c:pt>
                <c:pt idx="318">
                  <c:v>1.1019236235765826E-6</c:v>
                </c:pt>
                <c:pt idx="319">
                  <c:v>8.7768126158234519E-7</c:v>
                </c:pt>
                <c:pt idx="320">
                  <c:v>6.780553905916238E-7</c:v>
                </c:pt>
                <c:pt idx="321">
                  <c:v>5.0213688242233337E-7</c:v>
                </c:pt>
                <c:pt idx="322">
                  <c:v>3.4876656657025811E-7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C0-48FB-83FC-76081DDA4E75}"/>
            </c:ext>
          </c:extLst>
        </c:ser>
        <c:ser>
          <c:idx val="6"/>
          <c:order val="1"/>
          <c:tx>
            <c:strRef>
              <c:f>Schotteroberbau!$A$49</c:f>
              <c:strCache>
                <c:ptCount val="1"/>
                <c:pt idx="0">
                  <c:v>Achse 1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3-FBC0-48FB-83FC-76081DDA4E75}"/>
              </c:ext>
            </c:extLst>
          </c:dPt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05-FBC0-48FB-83FC-76081DDA4E75}"/>
              </c:ext>
            </c:extLst>
          </c:dPt>
          <c:xVal>
            <c:numRef>
              <c:f>(Schotteroberbau!$B$49,Schotteroberbau!$B$49)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(Schotteroberbau!$C$49,Schotteroberbau!$E$49)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BC0-48FB-83FC-76081DDA4E75}"/>
            </c:ext>
          </c:extLst>
        </c:ser>
        <c:ser>
          <c:idx val="7"/>
          <c:order val="2"/>
          <c:tx>
            <c:strRef>
              <c:f>Schotteroberbau!$A$50</c:f>
              <c:strCache>
                <c:ptCount val="1"/>
                <c:pt idx="0">
                  <c:v>Achse 2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8-FBC0-48FB-83FC-76081DDA4E75}"/>
              </c:ext>
            </c:extLst>
          </c:dPt>
          <c:xVal>
            <c:numRef>
              <c:f>(Schotteroberbau!$B$50,Schotteroberbau!$B$50)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(Schotteroberbau!$C$50,Schotteroberbau!$E$50)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BC0-48FB-83FC-76081DDA4E75}"/>
            </c:ext>
          </c:extLst>
        </c:ser>
        <c:ser>
          <c:idx val="8"/>
          <c:order val="3"/>
          <c:tx>
            <c:strRef>
              <c:f>Schotteroberbau!$A$51</c:f>
              <c:strCache>
                <c:ptCount val="1"/>
                <c:pt idx="0">
                  <c:v>Achse 3</c:v>
                </c:pt>
              </c:strCache>
            </c:strRef>
          </c:tx>
          <c:spPr>
            <a:ln>
              <a:solidFill>
                <a:schemeClr val="tx1"/>
              </a:solidFill>
              <a:headEnd type="arrow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0B-FBC0-48FB-83FC-76081DDA4E75}"/>
              </c:ext>
            </c:extLst>
          </c:dPt>
          <c:dPt>
            <c:idx val="1"/>
            <c:bubble3D val="0"/>
            <c:spPr>
              <a:ln w="31750">
                <a:solidFill>
                  <a:schemeClr val="tx1"/>
                </a:solidFill>
                <a:headEnd type="triangle"/>
              </a:ln>
            </c:spPr>
            <c:extLst>
              <c:ext xmlns:c16="http://schemas.microsoft.com/office/drawing/2014/chart" uri="{C3380CC4-5D6E-409C-BE32-E72D297353CC}">
                <c16:uniqueId val="{0000000D-FBC0-48FB-83FC-76081DDA4E75}"/>
              </c:ext>
            </c:extLst>
          </c:dPt>
          <c:xVal>
            <c:numRef>
              <c:f>(Schotteroberbau!$B$51,Schotteroberbau!$B$51)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(Schotteroberbau!$C$51,Schotteroberbau!$E$51)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FBC0-48FB-83FC-76081DDA4E75}"/>
            </c:ext>
          </c:extLst>
        </c:ser>
        <c:ser>
          <c:idx val="9"/>
          <c:order val="4"/>
          <c:tx>
            <c:strRef>
              <c:f>Schotteroberbau!$A$52</c:f>
              <c:strCache>
                <c:ptCount val="1"/>
                <c:pt idx="0">
                  <c:v>Achse 4</c:v>
                </c:pt>
              </c:strCache>
            </c:strRef>
          </c:tx>
          <c:spPr>
            <a:ln w="31750">
              <a:solidFill>
                <a:schemeClr val="tx1"/>
              </a:solidFill>
              <a:headEnd type="triangle"/>
            </a:ln>
          </c:spPr>
          <c:marker>
            <c:symbol val="none"/>
          </c:marker>
          <c:dPt>
            <c:idx val="0"/>
            <c:bubble3D val="0"/>
            <c:spPr/>
            <c:extLst>
              <c:ext xmlns:c16="http://schemas.microsoft.com/office/drawing/2014/chart" uri="{C3380CC4-5D6E-409C-BE32-E72D297353CC}">
                <c16:uniqueId val="{00000010-FBC0-48FB-83FC-76081DDA4E75}"/>
              </c:ext>
            </c:extLst>
          </c:dPt>
          <c:xVal>
            <c:numRef>
              <c:f>(Schotteroberbau!$B$52,Schotteroberbau!$B$52)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(Schotteroberbau!$C$52,Schotteroberbau!$E$52)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FBC0-48FB-83FC-76081DDA4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97952"/>
        <c:axId val="142008320"/>
      </c:scatterChart>
      <c:valAx>
        <c:axId val="141997952"/>
        <c:scaling>
          <c:orientation val="minMax"/>
          <c:max val="32"/>
        </c:scaling>
        <c:delete val="0"/>
        <c:axPos val="t"/>
        <c:min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Schienenabschnitt</a:t>
                </a:r>
                <a:r>
                  <a:rPr lang="de-DE" sz="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, [m]</a:t>
                </a:r>
                <a:endParaRPr lang="de-DE" sz="8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3348906109340507"/>
              <c:y val="0.9490871620132399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2008320"/>
        <c:crosses val="autoZero"/>
        <c:crossBetween val="midCat"/>
        <c:majorUnit val="1"/>
        <c:minorUnit val="0.5"/>
      </c:valAx>
      <c:valAx>
        <c:axId val="142008320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de-DE" sz="800">
                    <a:latin typeface="Arial" panose="020B0604020202020204" pitchFamily="34" charset="0"/>
                    <a:cs typeface="Arial" panose="020B0604020202020204" pitchFamily="34" charset="0"/>
                  </a:rPr>
                  <a:t>Einsenkung [mm]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800" b="0" i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1997952"/>
        <c:crosses val="autoZero"/>
        <c:crossBetween val="midCat"/>
        <c:majorUnit val="0.1"/>
        <c:minorUnit val="2.0000000000000004E-2"/>
      </c:valAx>
    </c:plotArea>
    <c:plotVisOnly val="0"/>
    <c:dispBlanksAs val="span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7" Type="http://schemas.openxmlformats.org/officeDocument/2006/relationships/image" Target="../media/image8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148383</xdr:rowOff>
    </xdr:from>
    <xdr:to>
      <xdr:col>10</xdr:col>
      <xdr:colOff>396323</xdr:colOff>
      <xdr:row>53</xdr:row>
      <xdr:rowOff>47625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88</xdr:row>
      <xdr:rowOff>152109</xdr:rowOff>
    </xdr:from>
    <xdr:to>
      <xdr:col>10</xdr:col>
      <xdr:colOff>389283</xdr:colOff>
      <xdr:row>107</xdr:row>
      <xdr:rowOff>19050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54251</xdr:colOff>
      <xdr:row>30</xdr:row>
      <xdr:rowOff>45064</xdr:rowOff>
    </xdr:from>
    <xdr:ext cx="3718834" cy="3495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 txBox="1"/>
          </xdr:nvSpPr>
          <xdr:spPr>
            <a:xfrm>
              <a:off x="54251" y="6074389"/>
              <a:ext cx="3718834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CH" sz="900" b="1" i="1">
                            <a:latin typeface="Cambria Math"/>
                          </a:rPr>
                          <m:t>𝑩𝒊𝒆𝒈𝒆𝒍𝒊𝒏𝒊𝒆</m:t>
                        </m:r>
                        <m:r>
                          <a:rPr lang="de-CH" sz="900" b="1" i="1">
                            <a:latin typeface="Cambria Math"/>
                          </a:rPr>
                          <m:t>:  </m:t>
                        </m:r>
                        <m:r>
                          <a:rPr lang="de-DE" sz="900" b="1" i="1">
                            <a:latin typeface="Cambria Math"/>
                          </a:rPr>
                          <m:t>𝑬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𝑰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r>
                      <a:rPr lang="de-DE" sz="900" b="1" i="1">
                        <a:latin typeface="Cambria Math"/>
                        <a:ea typeface="Cambria Math"/>
                      </a:rPr>
                      <m:t>∙</m:t>
                    </m:r>
                    <m:sSup>
                      <m:sSupPr>
                        <m:ctrlPr>
                          <a:rPr lang="de-DE" sz="900" b="1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𝝎</m:t>
                        </m:r>
                      </m:e>
                      <m:sup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𝑰𝑽</m:t>
                        </m:r>
                      </m:sup>
                    </m:sSup>
                    <m:r>
                      <a:rPr lang="de-DE" sz="900" b="1" i="1">
                        <a:latin typeface="Cambria Math"/>
                        <a:ea typeface="Cambria Math"/>
                      </a:rPr>
                      <m:t>+</m:t>
                    </m:r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𝒌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𝒕𝒐𝒕</m:t>
                        </m:r>
                      </m:sub>
                    </m:sSub>
                    <m:r>
                      <a:rPr lang="de-DE" sz="900" b="1" i="1">
                        <a:latin typeface="Cambria Math"/>
                        <a:ea typeface="Cambria Math"/>
                      </a:rPr>
                      <m:t>·</m:t>
                    </m:r>
                    <m:r>
                      <a:rPr lang="de-DE" sz="900" b="1" i="1">
                        <a:latin typeface="Cambria Math"/>
                        <a:ea typeface="Cambria Math"/>
                      </a:rPr>
                      <m:t>𝝎</m:t>
                    </m:r>
                    <m:r>
                      <a:rPr lang="de-DE" sz="900" b="1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𝑸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𝑹𝒂𝒅𝒍𝒂𝒔𝒕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</m:sub>
                    </m:sSub>
                    <m:r>
                      <a:rPr lang="de-DE" sz="900" b="1" i="1">
                        <a:latin typeface="Cambria Math"/>
                      </a:rPr>
                      <m:t>·</m:t>
                    </m:r>
                    <m:r>
                      <a:rPr lang="de-DE" sz="900" b="1" i="1">
                        <a:latin typeface="Cambria Math"/>
                        <a:ea typeface="Cambria Math"/>
                      </a:rPr>
                      <m:t>𝜹</m:t>
                    </m:r>
                    <m:d>
                      <m:dPr>
                        <m:ctrlPr>
                          <a:rPr lang="de-DE" sz="900" b="1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dPr>
                      <m:e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𝒙</m:t>
                        </m:r>
                      </m:e>
                    </m:d>
                  </m:oMath>
                </m:oMathPara>
              </a14:m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Choice>
      <mc:Fallback xmlns="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240AE141-E946-47E4-A03C-9903DF2D2BF6}"/>
                </a:ext>
              </a:extLst>
            </xdr:cNvPr>
            <xdr:cNvSpPr txBox="1"/>
          </xdr:nvSpPr>
          <xdr:spPr>
            <a:xfrm>
              <a:off x="54251" y="6074389"/>
              <a:ext cx="3718834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e-DE" sz="900" b="1" i="0">
                  <a:latin typeface="Cambria Math" panose="02040503050406030204" pitchFamily="18" charset="0"/>
                </a:rPr>
                <a:t>〖</a:t>
              </a:r>
              <a:r>
                <a:rPr lang="de-CH" sz="900" b="1" i="0">
                  <a:latin typeface="Cambria Math"/>
                </a:rPr>
                <a:t>𝑩𝒊𝒆𝒈𝒆𝒍𝒊𝒏𝒊𝒆:  </a:t>
              </a:r>
              <a:r>
                <a:rPr lang="de-DE" sz="900" b="1" i="0">
                  <a:latin typeface="Cambria Math"/>
                </a:rPr>
                <a:t>𝑬</a:t>
              </a:r>
              <a:r>
                <a:rPr lang="de-DE" sz="900" b="1" i="0">
                  <a:latin typeface="Cambria Math" panose="02040503050406030204" pitchFamily="18" charset="0"/>
                </a:rPr>
                <a:t>〗_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 panose="02040503050406030204" pitchFamily="18" charset="0"/>
                </a:rPr>
                <a:t> </a:t>
              </a:r>
              <a:r>
                <a:rPr lang="de-DE" sz="900" b="1" i="0">
                  <a:latin typeface="Cambria Math"/>
                </a:rPr>
                <a:t>𝑰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/>
                  <a:ea typeface="Cambria Math"/>
                </a:rPr>
                <a:t>∙𝝎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^</a:t>
              </a:r>
              <a:r>
                <a:rPr lang="de-DE" sz="900" b="1" i="0">
                  <a:latin typeface="Cambria Math"/>
                  <a:ea typeface="Cambria Math"/>
                </a:rPr>
                <a:t>𝑰𝑽+𝒌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_</a:t>
              </a:r>
              <a:r>
                <a:rPr lang="de-DE" sz="900" b="1" i="0">
                  <a:latin typeface="Cambria Math"/>
                  <a:ea typeface="Cambria Math"/>
                </a:rPr>
                <a:t>𝒕𝒐𝒕·𝝎</a:t>
              </a:r>
              <a:r>
                <a:rPr lang="de-DE" sz="900" b="1" i="0">
                  <a:latin typeface="Cambria Math"/>
                </a:rPr>
                <a:t>=𝑸</a:t>
              </a:r>
              <a:r>
                <a:rPr lang="de-DE" sz="900" b="1" i="0">
                  <a:latin typeface="Cambria Math" panose="02040503050406030204" pitchFamily="18" charset="0"/>
                </a:rPr>
                <a:t>_(</a:t>
              </a:r>
              <a:r>
                <a:rPr lang="de-DE" sz="900" b="1" i="0">
                  <a:latin typeface="Cambria Math"/>
                </a:rPr>
                <a:t>𝑹𝒂𝒅𝒍𝒂𝒔𝒕 </a:t>
              </a:r>
              <a:r>
                <a:rPr lang="de-DE" sz="900" b="1" i="0">
                  <a:latin typeface="Cambria Math" panose="02040503050406030204" pitchFamily="18" charset="0"/>
                </a:rPr>
                <a:t>)</a:t>
              </a:r>
              <a:r>
                <a:rPr lang="de-DE" sz="900" b="1" i="0">
                  <a:latin typeface="Cambria Math"/>
                </a:rPr>
                <a:t>·</a:t>
              </a:r>
              <a:r>
                <a:rPr lang="de-DE" sz="900" b="1" i="0">
                  <a:latin typeface="Cambria Math"/>
                  <a:ea typeface="Cambria Math"/>
                </a:rPr>
                <a:t>𝜹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(</a:t>
              </a:r>
              <a:r>
                <a:rPr lang="de-DE" sz="900" b="1" i="0">
                  <a:latin typeface="Cambria Math"/>
                  <a:ea typeface="Cambria Math"/>
                </a:rPr>
                <a:t>𝒙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)</a:t>
              </a: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Fallback>
    </mc:AlternateContent>
    <xdr:clientData/>
  </xdr:oneCellAnchor>
  <xdr:oneCellAnchor>
    <xdr:from>
      <xdr:col>0</xdr:col>
      <xdr:colOff>0</xdr:colOff>
      <xdr:row>83</xdr:row>
      <xdr:rowOff>59322</xdr:rowOff>
    </xdr:from>
    <xdr:ext cx="3077046" cy="3749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0" y="14984997"/>
              <a:ext cx="3077046" cy="3749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𝑩𝒊𝒆𝒈𝒆𝒛𝒖𝒈𝒔𝒑𝒂𝒏𝒏𝒖𝒏𝒈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𝒊𝒏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𝒅𝒆𝒓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  <m:r>
                          <a:rPr lang="de-CH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𝝈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𝒅</m:t>
                        </m:r>
                      </m:sub>
                    </m:sSub>
                    <m:r>
                      <a:rPr lang="de-DE" sz="900" b="1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𝑴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𝑾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𝑺𝒄𝒉𝒊𝒆𝒏𝒆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de-DE" sz="900" b="1"/>
            </a:p>
          </xdr:txBody>
        </xdr:sp>
      </mc:Choice>
      <mc:Fallback xmlns="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F6191114-3676-48BE-9899-8112A9565A96}"/>
                </a:ext>
              </a:extLst>
            </xdr:cNvPr>
            <xdr:cNvSpPr txBox="1"/>
          </xdr:nvSpPr>
          <xdr:spPr>
            <a:xfrm>
              <a:off x="0" y="14984997"/>
              <a:ext cx="3077046" cy="3749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900" b="1" i="0">
                  <a:latin typeface="Cambria Math" panose="02040503050406030204" pitchFamily="18" charset="0"/>
                </a:rPr>
                <a:t>〖</a:t>
              </a:r>
              <a:r>
                <a:rPr lang="de-DE" sz="900" b="1" i="0">
                  <a:latin typeface="Cambria Math"/>
                </a:rPr>
                <a:t>𝑩𝒊𝒆𝒈𝒆𝒛𝒖𝒈𝒔𝒑𝒂𝒏𝒏𝒖𝒏𝒈 𝒊𝒏 𝒅𝒆𝒓 𝑺𝒄𝒉𝒊𝒆𝒏𝒆</a:t>
              </a:r>
              <a:r>
                <a:rPr lang="de-CH" sz="900" b="1" i="0">
                  <a:latin typeface="Cambria Math"/>
                </a:rPr>
                <a:t> </a:t>
              </a:r>
              <a:r>
                <a:rPr lang="de-DE" sz="900" b="1" i="0">
                  <a:latin typeface="Cambria Math"/>
                  <a:ea typeface="Cambria Math"/>
                </a:rPr>
                <a:t>𝝈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〗_</a:t>
              </a:r>
              <a:r>
                <a:rPr lang="de-DE" sz="900" b="1" i="0">
                  <a:latin typeface="Cambria Math"/>
                </a:rPr>
                <a:t>𝒅=𝑴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𝒅</a:t>
              </a:r>
              <a:r>
                <a:rPr lang="de-DE" sz="900" b="1" i="0">
                  <a:latin typeface="Cambria Math" panose="02040503050406030204" pitchFamily="18" charset="0"/>
                </a:rPr>
                <a:t>/</a:t>
              </a:r>
              <a:r>
                <a:rPr lang="de-DE" sz="900" b="1" i="0">
                  <a:latin typeface="Cambria Math"/>
                </a:rPr>
                <a:t>𝑾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 panose="02040503050406030204" pitchFamily="18" charset="0"/>
                </a:rPr>
                <a:t> </a:t>
              </a:r>
              <a:endParaRPr lang="de-DE" sz="900" b="1"/>
            </a:p>
          </xdr:txBody>
        </xdr:sp>
      </mc:Fallback>
    </mc:AlternateContent>
    <xdr:clientData/>
  </xdr:oneCellAnchor>
  <xdr:oneCellAnchor>
    <xdr:from>
      <xdr:col>0</xdr:col>
      <xdr:colOff>27990</xdr:colOff>
      <xdr:row>82</xdr:row>
      <xdr:rowOff>0</xdr:rowOff>
    </xdr:from>
    <xdr:ext cx="3506113" cy="3495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 txBox="1"/>
          </xdr:nvSpPr>
          <xdr:spPr>
            <a:xfrm>
              <a:off x="27990" y="14754225"/>
              <a:ext cx="3506113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CH" sz="900" b="1" i="1">
                            <a:latin typeface="Cambria Math"/>
                          </a:rPr>
                          <m:t>𝑴𝒐𝒎𝒆𝒏𝒕𝒆𝒏𝒍𝒊𝒏𝒊𝒆</m:t>
                        </m:r>
                        <m:r>
                          <a:rPr lang="de-CH" sz="900" b="1" i="1">
                            <a:latin typeface="Cambria Math"/>
                          </a:rPr>
                          <m:t> </m:t>
                        </m:r>
                        <m:sSub>
                          <m:sSubPr>
                            <m:ctrlPr>
                              <a:rPr lang="de-CH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CH" sz="900" b="1" i="1">
                                <a:latin typeface="Cambria Math"/>
                              </a:rPr>
                              <m:t>𝑴</m:t>
                            </m:r>
                          </m:e>
                          <m:sub>
                            <m:r>
                              <a:rPr lang="de-CH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  <m:d>
                          <m:d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𝒙</m:t>
                            </m:r>
                          </m:e>
                        </m:d>
                        <m:r>
                          <a:rPr lang="de-DE" sz="900" b="1" i="1">
                            <a:latin typeface="Cambria Math"/>
                          </a:rPr>
                          <m:t>=</m:t>
                        </m:r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𝒌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𝒒</m:t>
                            </m:r>
                          </m:sub>
                        </m:sSub>
                        <m:r>
                          <a:rPr lang="de-DE" sz="900" b="1" i="1">
                            <a:latin typeface="Cambria Math"/>
                          </a:rPr>
                          <m:t>·</m:t>
                        </m:r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𝒌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  <m:r>
                          <a:rPr lang="de-CH" sz="900" b="1" i="1">
                            <a:latin typeface="Cambria Math"/>
                          </a:rPr>
                          <m:t>·</m:t>
                        </m:r>
                        <m:r>
                          <a:rPr lang="de-DE" sz="900" b="1" i="1">
                            <a:latin typeface="Cambria Math"/>
                          </a:rPr>
                          <m:t>(</m:t>
                        </m:r>
                        <m:r>
                          <a:rPr lang="de-CH" sz="900" b="1" i="1">
                            <a:latin typeface="Cambria Math"/>
                          </a:rPr>
                          <m:t>−</m:t>
                        </m:r>
                        <m:r>
                          <a:rPr lang="de-DE" sz="900" b="1" i="1">
                            <a:latin typeface="Cambria Math"/>
                          </a:rPr>
                          <m:t>𝑬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𝑰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r>
                      <a:rPr lang="de-DE" sz="900" b="1" i="1">
                        <a:latin typeface="Cambria Math"/>
                        <a:ea typeface="Cambria Math"/>
                      </a:rPr>
                      <m:t>∙</m:t>
                    </m:r>
                    <m:sSup>
                      <m:sSupPr>
                        <m:ctrlPr>
                          <a:rPr lang="de-DE" sz="900" b="1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𝝎</m:t>
                        </m:r>
                      </m:e>
                      <m:sup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𝑰𝑰</m:t>
                        </m:r>
                      </m:sup>
                    </m:sSup>
                    <m:r>
                      <a:rPr lang="de-CH" sz="900" b="1" i="1">
                        <a:latin typeface="Cambria Math"/>
                        <a:ea typeface="Cambria Math"/>
                      </a:rPr>
                      <m:t>)</m:t>
                    </m:r>
                  </m:oMath>
                </m:oMathPara>
              </a14:m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Choice>
      <mc:Fallback xmlns="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015B9E78-A864-4EA9-86EB-831544F399A8}"/>
                </a:ext>
              </a:extLst>
            </xdr:cNvPr>
            <xdr:cNvSpPr txBox="1"/>
          </xdr:nvSpPr>
          <xdr:spPr>
            <a:xfrm>
              <a:off x="27990" y="14754225"/>
              <a:ext cx="3506113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e-DE" sz="900" b="1" i="0">
                  <a:latin typeface="Cambria Math" panose="02040503050406030204" pitchFamily="18" charset="0"/>
                </a:rPr>
                <a:t>〖</a:t>
              </a:r>
              <a:r>
                <a:rPr lang="de-CH" sz="900" b="1" i="0">
                  <a:latin typeface="Cambria Math"/>
                </a:rPr>
                <a:t>𝑴𝒐𝒎𝒆𝒏𝒕𝒆𝒏𝒍𝒊𝒏𝒊𝒆 𝑴</a:t>
              </a:r>
              <a:r>
                <a:rPr lang="de-CH" sz="900" b="1" i="0">
                  <a:latin typeface="Cambria Math" panose="02040503050406030204" pitchFamily="18" charset="0"/>
                </a:rPr>
                <a:t>_</a:t>
              </a:r>
              <a:r>
                <a:rPr lang="de-CH" sz="900" b="1" i="0">
                  <a:latin typeface="Cambria Math"/>
                </a:rPr>
                <a:t>𝒅</a:t>
              </a:r>
              <a:r>
                <a:rPr lang="de-DE" sz="900" b="1" i="0">
                  <a:latin typeface="Cambria Math" panose="02040503050406030204" pitchFamily="18" charset="0"/>
                </a:rPr>
                <a:t> (</a:t>
              </a:r>
              <a:r>
                <a:rPr lang="de-DE" sz="900" b="1" i="0">
                  <a:latin typeface="Cambria Math"/>
                </a:rPr>
                <a:t>𝒙</a:t>
              </a:r>
              <a:r>
                <a:rPr lang="de-DE" sz="900" b="1" i="0">
                  <a:latin typeface="Cambria Math" panose="02040503050406030204" pitchFamily="18" charset="0"/>
                </a:rPr>
                <a:t>)</a:t>
              </a:r>
              <a:r>
                <a:rPr lang="de-DE" sz="900" b="1" i="0">
                  <a:latin typeface="Cambria Math"/>
                </a:rPr>
                <a:t>=𝒌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𝒒·𝒌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𝒅</a:t>
              </a:r>
              <a:r>
                <a:rPr lang="de-CH" sz="900" b="1" i="0">
                  <a:latin typeface="Cambria Math"/>
                </a:rPr>
                <a:t>·</a:t>
              </a:r>
              <a:r>
                <a:rPr lang="de-DE" sz="900" b="1" i="0">
                  <a:latin typeface="Cambria Math"/>
                </a:rPr>
                <a:t>(</a:t>
              </a:r>
              <a:r>
                <a:rPr lang="de-CH" sz="900" b="1" i="0">
                  <a:latin typeface="Cambria Math"/>
                </a:rPr>
                <a:t>−</a:t>
              </a:r>
              <a:r>
                <a:rPr lang="de-DE" sz="900" b="1" i="0">
                  <a:latin typeface="Cambria Math"/>
                </a:rPr>
                <a:t>𝑬</a:t>
              </a:r>
              <a:r>
                <a:rPr lang="de-DE" sz="900" b="1" i="0">
                  <a:latin typeface="Cambria Math" panose="02040503050406030204" pitchFamily="18" charset="0"/>
                </a:rPr>
                <a:t>〗_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 panose="02040503050406030204" pitchFamily="18" charset="0"/>
                </a:rPr>
                <a:t> </a:t>
              </a:r>
              <a:r>
                <a:rPr lang="de-DE" sz="900" b="1" i="0">
                  <a:latin typeface="Cambria Math"/>
                </a:rPr>
                <a:t>𝑰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/>
                  <a:ea typeface="Cambria Math"/>
                </a:rPr>
                <a:t>∙𝝎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^</a:t>
              </a:r>
              <a:r>
                <a:rPr lang="de-DE" sz="900" b="1" i="0">
                  <a:latin typeface="Cambria Math"/>
                  <a:ea typeface="Cambria Math"/>
                </a:rPr>
                <a:t>𝑰𝑰</a:t>
              </a:r>
              <a:r>
                <a:rPr lang="de-CH" sz="900" b="1" i="0">
                  <a:latin typeface="Cambria Math"/>
                  <a:ea typeface="Cambria Math"/>
                </a:rPr>
                <a:t>)</a:t>
              </a: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Fallback>
    </mc:AlternateContent>
    <xdr:clientData/>
  </xdr:oneCellAnchor>
  <xdr:twoCellAnchor>
    <xdr:from>
      <xdr:col>0</xdr:col>
      <xdr:colOff>27651</xdr:colOff>
      <xdr:row>131</xdr:row>
      <xdr:rowOff>109307</xdr:rowOff>
    </xdr:from>
    <xdr:to>
      <xdr:col>10</xdr:col>
      <xdr:colOff>405848</xdr:colOff>
      <xdr:row>145</xdr:row>
      <xdr:rowOff>71719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269599</xdr:colOff>
      <xdr:row>0</xdr:row>
      <xdr:rowOff>130327</xdr:rowOff>
    </xdr:from>
    <xdr:to>
      <xdr:col>3</xdr:col>
      <xdr:colOff>561975</xdr:colOff>
      <xdr:row>3</xdr:row>
      <xdr:rowOff>18906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599" y="130327"/>
          <a:ext cx="2816501" cy="4600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103414</xdr:colOff>
      <xdr:row>32</xdr:row>
      <xdr:rowOff>43610</xdr:rowOff>
    </xdr:from>
    <xdr:to>
      <xdr:col>10</xdr:col>
      <xdr:colOff>499737</xdr:colOff>
      <xdr:row>53</xdr:row>
      <xdr:rowOff>127909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103415</xdr:colOff>
      <xdr:row>89</xdr:row>
      <xdr:rowOff>119452</xdr:rowOff>
    </xdr:from>
    <xdr:to>
      <xdr:col>10</xdr:col>
      <xdr:colOff>492698</xdr:colOff>
      <xdr:row>107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84</xdr:row>
      <xdr:rowOff>59322</xdr:rowOff>
    </xdr:from>
    <xdr:ext cx="3077046" cy="3749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 txBox="1"/>
          </xdr:nvSpPr>
          <xdr:spPr>
            <a:xfrm>
              <a:off x="0" y="14365872"/>
              <a:ext cx="3077046" cy="3749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𝑩𝒊𝒆𝒈𝒆𝒛𝒖𝒈𝒔𝒑𝒂𝒏𝒏𝒖𝒏𝒈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𝒊𝒏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𝒅𝒆𝒓</m:t>
                        </m:r>
                        <m:r>
                          <a:rPr lang="de-DE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  <m:r>
                          <a:rPr lang="de-CH" sz="900" b="1" i="1">
                            <a:latin typeface="Cambria Math"/>
                          </a:rPr>
                          <m:t> </m:t>
                        </m:r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𝝈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𝒅</m:t>
                        </m:r>
                      </m:sub>
                    </m:sSub>
                    <m:r>
                      <a:rPr lang="de-DE" sz="900" b="1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𝑴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𝑾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𝑺𝒄𝒉𝒊𝒆𝒏𝒆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de-DE" sz="900" b="1"/>
            </a:p>
          </xdr:txBody>
        </xdr:sp>
      </mc:Choice>
      <mc:Fallback xmlns="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3FFCFFBA-749C-49E9-8DD2-6E186CF74B4A}"/>
                </a:ext>
              </a:extLst>
            </xdr:cNvPr>
            <xdr:cNvSpPr txBox="1"/>
          </xdr:nvSpPr>
          <xdr:spPr>
            <a:xfrm>
              <a:off x="0" y="14365872"/>
              <a:ext cx="3077046" cy="3749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900" b="1" i="0">
                  <a:latin typeface="Cambria Math" panose="02040503050406030204" pitchFamily="18" charset="0"/>
                </a:rPr>
                <a:t>〖</a:t>
              </a:r>
              <a:r>
                <a:rPr lang="de-DE" sz="900" b="1" i="0">
                  <a:latin typeface="Cambria Math"/>
                </a:rPr>
                <a:t>𝑩𝒊𝒆𝒈𝒆𝒛𝒖𝒈𝒔𝒑𝒂𝒏𝒏𝒖𝒏𝒈 𝒊𝒏 𝒅𝒆𝒓 𝑺𝒄𝒉𝒊𝒆𝒏𝒆</a:t>
              </a:r>
              <a:r>
                <a:rPr lang="de-CH" sz="900" b="1" i="0">
                  <a:latin typeface="Cambria Math"/>
                </a:rPr>
                <a:t> </a:t>
              </a:r>
              <a:r>
                <a:rPr lang="de-DE" sz="900" b="1" i="0">
                  <a:latin typeface="Cambria Math"/>
                  <a:ea typeface="Cambria Math"/>
                </a:rPr>
                <a:t>𝝈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〗_</a:t>
              </a:r>
              <a:r>
                <a:rPr lang="de-DE" sz="900" b="1" i="0">
                  <a:latin typeface="Cambria Math"/>
                </a:rPr>
                <a:t>𝒅=𝑴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𝒅</a:t>
              </a:r>
              <a:r>
                <a:rPr lang="de-DE" sz="900" b="1" i="0">
                  <a:latin typeface="Cambria Math" panose="02040503050406030204" pitchFamily="18" charset="0"/>
                </a:rPr>
                <a:t>/</a:t>
              </a:r>
              <a:r>
                <a:rPr lang="de-DE" sz="900" b="1" i="0">
                  <a:latin typeface="Cambria Math"/>
                </a:rPr>
                <a:t>𝑾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 panose="02040503050406030204" pitchFamily="18" charset="0"/>
                </a:rPr>
                <a:t> </a:t>
              </a:r>
              <a:endParaRPr lang="de-DE" sz="900" b="1"/>
            </a:p>
          </xdr:txBody>
        </xdr:sp>
      </mc:Fallback>
    </mc:AlternateContent>
    <xdr:clientData/>
  </xdr:oneCellAnchor>
  <xdr:oneCellAnchor>
    <xdr:from>
      <xdr:col>0</xdr:col>
      <xdr:colOff>27990</xdr:colOff>
      <xdr:row>83</xdr:row>
      <xdr:rowOff>0</xdr:rowOff>
    </xdr:from>
    <xdr:ext cx="3506113" cy="3495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SpPr txBox="1"/>
          </xdr:nvSpPr>
          <xdr:spPr>
            <a:xfrm>
              <a:off x="27990" y="14116050"/>
              <a:ext cx="3506113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CH" sz="900" b="1" i="1">
                            <a:latin typeface="Cambria Math"/>
                          </a:rPr>
                          <m:t>𝑴𝒐𝒎𝒆𝒏𝒕𝒆𝒏𝒍𝒊𝒏𝒊𝒆</m:t>
                        </m:r>
                        <m:r>
                          <a:rPr lang="de-CH" sz="900" b="1" i="1">
                            <a:latin typeface="Cambria Math"/>
                          </a:rPr>
                          <m:t> </m:t>
                        </m:r>
                        <m:sSub>
                          <m:sSubPr>
                            <m:ctrlPr>
                              <a:rPr lang="de-CH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CH" sz="900" b="1" i="1">
                                <a:latin typeface="Cambria Math"/>
                              </a:rPr>
                              <m:t>𝑴</m:t>
                            </m:r>
                          </m:e>
                          <m:sub>
                            <m:r>
                              <a:rPr lang="de-CH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  <m:d>
                          <m:d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𝒙</m:t>
                            </m:r>
                          </m:e>
                        </m:d>
                        <m:r>
                          <a:rPr lang="de-DE" sz="900" b="1" i="1">
                            <a:latin typeface="Cambria Math"/>
                          </a:rPr>
                          <m:t>=</m:t>
                        </m:r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𝒌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𝒒</m:t>
                            </m:r>
                          </m:sub>
                        </m:sSub>
                        <m:r>
                          <a:rPr lang="de-DE" sz="900" b="1" i="1">
                            <a:latin typeface="Cambria Math"/>
                          </a:rPr>
                          <m:t>·</m:t>
                        </m:r>
                        <m:sSub>
                          <m:sSubPr>
                            <m:ctrlPr>
                              <a:rPr lang="de-DE" sz="9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de-DE" sz="900" b="1" i="1">
                                <a:latin typeface="Cambria Math"/>
                              </a:rPr>
                              <m:t>𝒌</m:t>
                            </m:r>
                          </m:e>
                          <m:sub>
                            <m:r>
                              <a:rPr lang="de-DE" sz="900" b="1" i="1">
                                <a:latin typeface="Cambria Math"/>
                              </a:rPr>
                              <m:t>𝒅</m:t>
                            </m:r>
                          </m:sub>
                        </m:sSub>
                        <m:r>
                          <a:rPr lang="de-CH" sz="900" b="1" i="1">
                            <a:latin typeface="Cambria Math"/>
                          </a:rPr>
                          <m:t>·</m:t>
                        </m:r>
                        <m:r>
                          <a:rPr lang="de-DE" sz="900" b="1" i="1">
                            <a:latin typeface="Cambria Math"/>
                          </a:rPr>
                          <m:t>(</m:t>
                        </m:r>
                        <m:r>
                          <a:rPr lang="de-CH" sz="900" b="1" i="1">
                            <a:latin typeface="Cambria Math"/>
                          </a:rPr>
                          <m:t>−</m:t>
                        </m:r>
                        <m:r>
                          <a:rPr lang="de-DE" sz="900" b="1" i="1">
                            <a:latin typeface="Cambria Math"/>
                          </a:rPr>
                          <m:t>𝑬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sSub>
                      <m:sSubPr>
                        <m:ctrlPr>
                          <a:rPr lang="de-DE" sz="9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900" b="1" i="1">
                            <a:latin typeface="Cambria Math"/>
                          </a:rPr>
                          <m:t>𝑰</m:t>
                        </m:r>
                      </m:e>
                      <m:sub>
                        <m:r>
                          <a:rPr lang="de-DE" sz="900" b="1" i="1">
                            <a:latin typeface="Cambria Math"/>
                          </a:rPr>
                          <m:t>𝑺𝒄𝒉𝒊𝒆𝒏𝒆</m:t>
                        </m:r>
                      </m:sub>
                    </m:sSub>
                    <m:r>
                      <a:rPr lang="de-DE" sz="900" b="1" i="1">
                        <a:latin typeface="Cambria Math"/>
                        <a:ea typeface="Cambria Math"/>
                      </a:rPr>
                      <m:t>∙</m:t>
                    </m:r>
                    <m:sSup>
                      <m:sSupPr>
                        <m:ctrlPr>
                          <a:rPr lang="de-DE" sz="900" b="1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pPr>
                      <m:e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𝝎</m:t>
                        </m:r>
                      </m:e>
                      <m:sup>
                        <m:r>
                          <a:rPr lang="de-DE" sz="900" b="1" i="1">
                            <a:latin typeface="Cambria Math"/>
                            <a:ea typeface="Cambria Math"/>
                          </a:rPr>
                          <m:t>𝑰𝑰</m:t>
                        </m:r>
                      </m:sup>
                    </m:sSup>
                    <m:r>
                      <a:rPr lang="de-CH" sz="900" b="1" i="1">
                        <a:latin typeface="Cambria Math"/>
                        <a:ea typeface="Cambria Math"/>
                      </a:rPr>
                      <m:t>)</m:t>
                    </m:r>
                  </m:oMath>
                </m:oMathPara>
              </a14:m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Choice>
      <mc:Fallback xmlns="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0BEE4512-A8C0-4EA8-8D6C-B67E28316C64}"/>
                </a:ext>
              </a:extLst>
            </xdr:cNvPr>
            <xdr:cNvSpPr txBox="1"/>
          </xdr:nvSpPr>
          <xdr:spPr>
            <a:xfrm>
              <a:off x="27990" y="14116050"/>
              <a:ext cx="3506113" cy="3495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e-DE" sz="900" b="1" i="0">
                  <a:latin typeface="Cambria Math" panose="02040503050406030204" pitchFamily="18" charset="0"/>
                </a:rPr>
                <a:t>〖</a:t>
              </a:r>
              <a:r>
                <a:rPr lang="de-CH" sz="900" b="1" i="0">
                  <a:latin typeface="Cambria Math"/>
                </a:rPr>
                <a:t>𝑴𝒐𝒎𝒆𝒏𝒕𝒆𝒏𝒍𝒊𝒏𝒊𝒆 𝑴</a:t>
              </a:r>
              <a:r>
                <a:rPr lang="de-CH" sz="900" b="1" i="0">
                  <a:latin typeface="Cambria Math" panose="02040503050406030204" pitchFamily="18" charset="0"/>
                </a:rPr>
                <a:t>_</a:t>
              </a:r>
              <a:r>
                <a:rPr lang="de-CH" sz="900" b="1" i="0">
                  <a:latin typeface="Cambria Math"/>
                </a:rPr>
                <a:t>𝒅</a:t>
              </a:r>
              <a:r>
                <a:rPr lang="de-DE" sz="900" b="1" i="0">
                  <a:latin typeface="Cambria Math" panose="02040503050406030204" pitchFamily="18" charset="0"/>
                </a:rPr>
                <a:t> (</a:t>
              </a:r>
              <a:r>
                <a:rPr lang="de-DE" sz="900" b="1" i="0">
                  <a:latin typeface="Cambria Math"/>
                </a:rPr>
                <a:t>𝒙</a:t>
              </a:r>
              <a:r>
                <a:rPr lang="de-DE" sz="900" b="1" i="0">
                  <a:latin typeface="Cambria Math" panose="02040503050406030204" pitchFamily="18" charset="0"/>
                </a:rPr>
                <a:t>)</a:t>
              </a:r>
              <a:r>
                <a:rPr lang="de-DE" sz="900" b="1" i="0">
                  <a:latin typeface="Cambria Math"/>
                </a:rPr>
                <a:t>=𝒌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𝒒·𝒌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𝒅</a:t>
              </a:r>
              <a:r>
                <a:rPr lang="de-CH" sz="900" b="1" i="0">
                  <a:latin typeface="Cambria Math"/>
                </a:rPr>
                <a:t>·</a:t>
              </a:r>
              <a:r>
                <a:rPr lang="de-DE" sz="900" b="1" i="0">
                  <a:latin typeface="Cambria Math"/>
                </a:rPr>
                <a:t>(</a:t>
              </a:r>
              <a:r>
                <a:rPr lang="de-CH" sz="900" b="1" i="0">
                  <a:latin typeface="Cambria Math"/>
                </a:rPr>
                <a:t>−</a:t>
              </a:r>
              <a:r>
                <a:rPr lang="de-DE" sz="900" b="1" i="0">
                  <a:latin typeface="Cambria Math"/>
                </a:rPr>
                <a:t>𝑬</a:t>
              </a:r>
              <a:r>
                <a:rPr lang="de-DE" sz="900" b="1" i="0">
                  <a:latin typeface="Cambria Math" panose="02040503050406030204" pitchFamily="18" charset="0"/>
                </a:rPr>
                <a:t>〗_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 panose="02040503050406030204" pitchFamily="18" charset="0"/>
                </a:rPr>
                <a:t> </a:t>
              </a:r>
              <a:r>
                <a:rPr lang="de-DE" sz="900" b="1" i="0">
                  <a:latin typeface="Cambria Math"/>
                </a:rPr>
                <a:t>𝑰</a:t>
              </a:r>
              <a:r>
                <a:rPr lang="de-DE" sz="900" b="1" i="0">
                  <a:latin typeface="Cambria Math" panose="02040503050406030204" pitchFamily="18" charset="0"/>
                </a:rPr>
                <a:t>_</a:t>
              </a:r>
              <a:r>
                <a:rPr lang="de-DE" sz="900" b="1" i="0">
                  <a:latin typeface="Cambria Math"/>
                </a:rPr>
                <a:t>𝑺𝒄𝒉𝒊𝒆𝒏𝒆</a:t>
              </a:r>
              <a:r>
                <a:rPr lang="de-DE" sz="900" b="1" i="0">
                  <a:latin typeface="Cambria Math"/>
                  <a:ea typeface="Cambria Math"/>
                </a:rPr>
                <a:t>∙𝝎</a:t>
              </a:r>
              <a:r>
                <a:rPr lang="de-DE" sz="900" b="1" i="0">
                  <a:latin typeface="Cambria Math" panose="02040503050406030204" pitchFamily="18" charset="0"/>
                  <a:ea typeface="Cambria Math"/>
                </a:rPr>
                <a:t>^</a:t>
              </a:r>
              <a:r>
                <a:rPr lang="de-DE" sz="900" b="1" i="0">
                  <a:latin typeface="Cambria Math"/>
                  <a:ea typeface="Cambria Math"/>
                </a:rPr>
                <a:t>𝑰𝑰</a:t>
              </a:r>
              <a:r>
                <a:rPr lang="de-CH" sz="900" b="1" i="0">
                  <a:latin typeface="Cambria Math"/>
                  <a:ea typeface="Cambria Math"/>
                </a:rPr>
                <a:t>)</a:t>
              </a: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Fallback>
    </mc:AlternateContent>
    <xdr:clientData/>
  </xdr:oneCellAnchor>
  <xdr:twoCellAnchor>
    <xdr:from>
      <xdr:col>0</xdr:col>
      <xdr:colOff>87522</xdr:colOff>
      <xdr:row>140</xdr:row>
      <xdr:rowOff>125635</xdr:rowOff>
    </xdr:from>
    <xdr:to>
      <xdr:col>10</xdr:col>
      <xdr:colOff>465719</xdr:colOff>
      <xdr:row>156</xdr:row>
      <xdr:rowOff>123824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269599</xdr:colOff>
      <xdr:row>0</xdr:row>
      <xdr:rowOff>130327</xdr:rowOff>
    </xdr:from>
    <xdr:to>
      <xdr:col>2</xdr:col>
      <xdr:colOff>427263</xdr:colOff>
      <xdr:row>3</xdr:row>
      <xdr:rowOff>21627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599" y="130327"/>
          <a:ext cx="2816501" cy="460079"/>
        </a:xfrm>
        <a:prstGeom prst="rect">
          <a:avLst/>
        </a:prstGeom>
      </xdr:spPr>
    </xdr:pic>
    <xdr:clientData/>
  </xdr:twoCellAnchor>
  <xdr:oneCellAnchor>
    <xdr:from>
      <xdr:col>0</xdr:col>
      <xdr:colOff>520207</xdr:colOff>
      <xdr:row>162</xdr:row>
      <xdr:rowOff>46619</xdr:rowOff>
    </xdr:from>
    <xdr:ext cx="973028" cy="4638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feld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520207" y="26531562"/>
              <a:ext cx="973028" cy="463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de-DE" sz="11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de-DE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DE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𝝈</m:t>
                            </m:r>
                          </m:e>
                          <m:sub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𝑫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𝒁𝒖𝒍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𝒎𝒂𝒙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de-DE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DE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𝝈</m:t>
                            </m:r>
                          </m:e>
                          <m:sub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𝑫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𝒎𝒂𝒙</m:t>
                            </m:r>
                            <m:r>
                              <a:rPr lang="de-CH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sub>
                        </m:sSub>
                      </m:den>
                    </m:f>
                    <m:r>
                      <a:rPr lang="de-CH" sz="1100" b="1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≥</m:t>
                    </m:r>
                  </m:oMath>
                </m:oMathPara>
              </a14:m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Choice>
      <mc:Fallback xmlns="">
        <xdr:sp macro="" textlink="">
          <xdr:nvSpPr>
            <xdr:cNvPr id="9" name="Textfeld 8">
              <a:extLst>
                <a:ext uri="{FF2B5EF4-FFF2-40B4-BE49-F238E27FC236}">
                  <a16:creationId xmlns:a16="http://schemas.microsoft.com/office/drawing/2014/main" id="{E911FC47-F9F9-43EC-98A8-F470278119E5}"/>
                </a:ext>
              </a:extLst>
            </xdr:cNvPr>
            <xdr:cNvSpPr txBox="1"/>
          </xdr:nvSpPr>
          <xdr:spPr>
            <a:xfrm>
              <a:off x="520207" y="26531562"/>
              <a:ext cx="973028" cy="463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e-DE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𝝈_(</a:t>
              </a:r>
              <a:r>
                <a:rPr lang="de-CH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𝑫 𝒁𝒖𝒍 𝒎𝒂𝒙</a:t>
              </a:r>
              <a:r>
                <a:rPr lang="de-DE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)/𝝈_(</a:t>
              </a:r>
              <a:r>
                <a:rPr lang="de-CH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𝑫 𝒎𝒂𝒙 </a:t>
              </a:r>
              <a:r>
                <a:rPr lang="de-DE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de-CH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de-CH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≥</a:t>
              </a: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de-DE" sz="900" b="1">
                <a:effectLst/>
              </a:endParaRPr>
            </a:p>
            <a:p>
              <a:endParaRPr lang="de-DE" sz="900" b="1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112939</xdr:colOff>
      <xdr:row>28</xdr:row>
      <xdr:rowOff>39528</xdr:rowOff>
    </xdr:from>
    <xdr:to>
      <xdr:col>11</xdr:col>
      <xdr:colOff>485775</xdr:colOff>
      <xdr:row>54</xdr:row>
      <xdr:rowOff>76200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269599</xdr:colOff>
      <xdr:row>0</xdr:row>
      <xdr:rowOff>130327</xdr:rowOff>
    </xdr:from>
    <xdr:to>
      <xdr:col>2</xdr:col>
      <xdr:colOff>427263</xdr:colOff>
      <xdr:row>3</xdr:row>
      <xdr:rowOff>21627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599" y="130327"/>
          <a:ext cx="2971621" cy="4464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103413</xdr:rowOff>
    </xdr:from>
    <xdr:to>
      <xdr:col>10</xdr:col>
      <xdr:colOff>151446</xdr:colOff>
      <xdr:row>15</xdr:row>
      <xdr:rowOff>48984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7327"/>
          <a:ext cx="8332060" cy="25363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549729</xdr:colOff>
      <xdr:row>15</xdr:row>
      <xdr:rowOff>181165</xdr:rowOff>
    </xdr:from>
    <xdr:to>
      <xdr:col>4</xdr:col>
      <xdr:colOff>157843</xdr:colOff>
      <xdr:row>19</xdr:row>
      <xdr:rowOff>32657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558" y="3065879"/>
          <a:ext cx="2068285" cy="5917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506187</xdr:colOff>
      <xdr:row>15</xdr:row>
      <xdr:rowOff>176412</xdr:rowOff>
    </xdr:from>
    <xdr:to>
      <xdr:col>0</xdr:col>
      <xdr:colOff>1016454</xdr:colOff>
      <xdr:row>18</xdr:row>
      <xdr:rowOff>168727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187" y="3061126"/>
          <a:ext cx="538842" cy="54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42</xdr:row>
      <xdr:rowOff>27216</xdr:rowOff>
    </xdr:from>
    <xdr:to>
      <xdr:col>5</xdr:col>
      <xdr:colOff>342900</xdr:colOff>
      <xdr:row>54</xdr:row>
      <xdr:rowOff>6846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66316"/>
          <a:ext cx="4669971" cy="2200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59872</xdr:colOff>
      <xdr:row>54</xdr:row>
      <xdr:rowOff>0</xdr:rowOff>
    </xdr:from>
    <xdr:to>
      <xdr:col>2</xdr:col>
      <xdr:colOff>560615</xdr:colOff>
      <xdr:row>57</xdr:row>
      <xdr:rowOff>107466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2" y="10259786"/>
          <a:ext cx="2487386" cy="711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261257</xdr:colOff>
      <xdr:row>54</xdr:row>
      <xdr:rowOff>33660</xdr:rowOff>
    </xdr:from>
    <xdr:to>
      <xdr:col>8</xdr:col>
      <xdr:colOff>87086</xdr:colOff>
      <xdr:row>57</xdr:row>
      <xdr:rowOff>118350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571" y="10293446"/>
          <a:ext cx="3679371" cy="6888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65315</xdr:colOff>
      <xdr:row>56</xdr:row>
      <xdr:rowOff>129237</xdr:rowOff>
    </xdr:from>
    <xdr:to>
      <xdr:col>0</xdr:col>
      <xdr:colOff>740286</xdr:colOff>
      <xdr:row>60</xdr:row>
      <xdr:rowOff>74808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15" y="10808123"/>
          <a:ext cx="674971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1</xdr:col>
      <xdr:colOff>845004</xdr:colOff>
      <xdr:row>65</xdr:row>
      <xdr:rowOff>123536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78443"/>
          <a:ext cx="1937658" cy="678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59871</xdr:colOff>
      <xdr:row>32</xdr:row>
      <xdr:rowOff>108878</xdr:rowOff>
    </xdr:from>
    <xdr:to>
      <xdr:col>1</xdr:col>
      <xdr:colOff>495299</xdr:colOff>
      <xdr:row>35</xdr:row>
      <xdr:rowOff>33401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1" y="6395378"/>
          <a:ext cx="1518557" cy="4796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161925</xdr:rowOff>
    </xdr:from>
    <xdr:to>
      <xdr:col>8</xdr:col>
      <xdr:colOff>743847</xdr:colOff>
      <xdr:row>15</xdr:row>
      <xdr:rowOff>152744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6F9A105-8E61-8881-ED7E-B3A54BA9A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42925"/>
          <a:ext cx="6430272" cy="24673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ailplus.sharepoint.com/sites/team/Projekte/00648%20&#220;berg&#228;nge%20Fahrbahn/Grundlagen/AeBo_B-Tool_S-Einsenkungen_nach_Zimmermann_V_1.0_SBB_O_Schulz_20190227_H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elblatt"/>
      <sheetName val="Anleitung"/>
      <sheetName val="System_mit_Schwellen"/>
      <sheetName val="System_mit_Schwellenblöcke"/>
      <sheetName val="Schienenprofile"/>
      <sheetName val="Schwellenblöcke"/>
    </sheetNames>
    <sheetDataSet>
      <sheetData sheetId="0">
        <row r="14">
          <cell r="E14"/>
        </row>
        <row r="18">
          <cell r="B18" t="str">
            <v>Version:</v>
          </cell>
          <cell r="C18">
            <v>1</v>
          </cell>
        </row>
        <row r="20">
          <cell r="C20" t="str">
            <v>01.05.2020</v>
          </cell>
        </row>
        <row r="22">
          <cell r="B22" t="str">
            <v>Lizenznehmer:</v>
          </cell>
          <cell r="C22" t="str">
            <v>Olaf Schulz, SBB AG I-AT-FBI-TEC-TRP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1C6A7-75CB-4E77-9C93-9F36FFC956DB}">
  <sheetPr codeName="Tabelle2"/>
  <dimension ref="A1:V330"/>
  <sheetViews>
    <sheetView zoomScaleNormal="100" workbookViewId="0">
      <selection activeCell="I9" sqref="I9"/>
    </sheetView>
  </sheetViews>
  <sheetFormatPr baseColWidth="10" defaultColWidth="11.453125" defaultRowHeight="14.5"/>
  <cols>
    <col min="1" max="1" width="20.453125" customWidth="1"/>
    <col min="2" max="3" width="8.7265625" customWidth="1"/>
    <col min="4" max="4" width="13.54296875" customWidth="1"/>
    <col min="5" max="5" width="6.1796875" customWidth="1"/>
    <col min="6" max="6" width="2.1796875" customWidth="1"/>
    <col min="7" max="7" width="16.54296875" customWidth="1"/>
    <col min="8" max="8" width="9.453125" customWidth="1"/>
    <col min="9" max="9" width="7.453125" customWidth="1"/>
    <col min="10" max="10" width="8.7265625" customWidth="1"/>
    <col min="12" max="12" width="11.7265625" hidden="1" customWidth="1"/>
    <col min="13" max="13" width="11.453125" hidden="1" customWidth="1"/>
    <col min="14" max="15" width="13" hidden="1" customWidth="1"/>
    <col min="16" max="16" width="11.453125" hidden="1" customWidth="1"/>
    <col min="17" max="17" width="12" hidden="1" customWidth="1"/>
    <col min="18" max="20" width="11.453125" hidden="1" customWidth="1"/>
    <col min="21" max="21" width="14.54296875" hidden="1" customWidth="1"/>
    <col min="22" max="22" width="11.453125" hidden="1" customWidth="1"/>
  </cols>
  <sheetData>
    <row r="1" spans="1:22">
      <c r="A1" s="49"/>
      <c r="B1" s="49"/>
      <c r="C1" s="49"/>
      <c r="D1" s="49"/>
      <c r="E1" s="49"/>
      <c r="F1" s="49"/>
      <c r="G1" s="49"/>
      <c r="H1" s="149"/>
      <c r="I1" s="150"/>
      <c r="J1" s="151"/>
      <c r="K1" s="49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>
      <c r="A2" s="49"/>
      <c r="B2" s="49"/>
      <c r="C2" s="49"/>
      <c r="D2" s="49"/>
      <c r="E2" s="49"/>
      <c r="F2" s="49"/>
      <c r="G2" s="49"/>
      <c r="H2" s="151"/>
      <c r="I2" s="151"/>
      <c r="J2" s="49"/>
      <c r="K2" s="49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>
      <c r="A3" s="49"/>
      <c r="B3" s="49"/>
      <c r="C3" s="49"/>
      <c r="D3" s="49"/>
      <c r="E3" s="49"/>
      <c r="F3" s="49"/>
      <c r="G3" s="49"/>
      <c r="H3" s="151"/>
      <c r="I3" s="347" t="s">
        <v>0</v>
      </c>
      <c r="J3" s="347"/>
      <c r="K3" s="49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ht="18" customHeight="1">
      <c r="A4" s="350" t="s">
        <v>1</v>
      </c>
      <c r="B4" s="351"/>
      <c r="C4" s="351"/>
      <c r="D4" s="351"/>
      <c r="E4" s="352"/>
      <c r="F4" s="3"/>
      <c r="G4" s="2"/>
      <c r="H4" s="2"/>
      <c r="I4" s="340" t="s">
        <v>2</v>
      </c>
      <c r="J4" s="341"/>
      <c r="K4" s="195">
        <f>E12+E17+E23+K7+K13+K23</f>
        <v>6</v>
      </c>
      <c r="L4" s="5"/>
      <c r="M4" s="6" t="s">
        <v>3</v>
      </c>
      <c r="N4" s="6"/>
      <c r="O4" s="6"/>
      <c r="P4" s="6"/>
      <c r="Q4" s="6"/>
      <c r="R4" s="6"/>
      <c r="S4" s="6"/>
      <c r="T4" s="6"/>
      <c r="U4" s="6"/>
    </row>
    <row r="5" spans="1:22" ht="15" customHeight="1">
      <c r="A5" s="353"/>
      <c r="B5" s="354"/>
      <c r="C5" s="354"/>
      <c r="D5" s="354"/>
      <c r="E5" s="355"/>
      <c r="F5" s="8"/>
      <c r="G5" s="9" t="s">
        <v>4</v>
      </c>
      <c r="H5" s="7"/>
      <c r="I5" s="7"/>
      <c r="J5" s="7"/>
      <c r="K5" s="10"/>
      <c r="L5" s="5"/>
      <c r="M5" s="11" t="s">
        <v>5</v>
      </c>
      <c r="N5" s="11" t="s">
        <v>6</v>
      </c>
      <c r="O5" s="11" t="s">
        <v>7</v>
      </c>
      <c r="P5" s="11" t="s">
        <v>7</v>
      </c>
      <c r="Q5" s="11" t="s">
        <v>8</v>
      </c>
      <c r="R5" s="11" t="s">
        <v>8</v>
      </c>
      <c r="S5" s="11" t="s">
        <v>8</v>
      </c>
      <c r="T5" s="11" t="s">
        <v>9</v>
      </c>
      <c r="U5" s="11" t="s">
        <v>10</v>
      </c>
    </row>
    <row r="6" spans="1:22" ht="15">
      <c r="A6" s="12" t="s">
        <v>11</v>
      </c>
      <c r="B6" s="13" t="s">
        <v>12</v>
      </c>
      <c r="C6" s="13" t="s">
        <v>13</v>
      </c>
      <c r="D6" s="14" t="s">
        <v>14</v>
      </c>
      <c r="E6" s="15" t="s">
        <v>15</v>
      </c>
      <c r="F6" s="8"/>
      <c r="G6" s="16" t="s">
        <v>16</v>
      </c>
      <c r="H6" s="17"/>
      <c r="I6" s="17"/>
      <c r="J6" s="18"/>
      <c r="K6" s="193"/>
      <c r="L6" s="5"/>
      <c r="M6" s="19" t="s">
        <v>17</v>
      </c>
      <c r="N6" s="11" t="s">
        <v>18</v>
      </c>
      <c r="O6" s="11" t="s">
        <v>19</v>
      </c>
      <c r="P6" s="11" t="s">
        <v>20</v>
      </c>
      <c r="Q6" s="20" t="s">
        <v>21</v>
      </c>
      <c r="R6" s="21" t="s">
        <v>22</v>
      </c>
      <c r="S6" s="21" t="s">
        <v>23</v>
      </c>
      <c r="T6" s="21"/>
      <c r="U6" s="11" t="s">
        <v>24</v>
      </c>
    </row>
    <row r="7" spans="1:22" ht="16">
      <c r="A7" s="22" t="s">
        <v>25</v>
      </c>
      <c r="B7" s="182" t="e">
        <f>#REF!</f>
        <v>#REF!</v>
      </c>
      <c r="C7" s="23" t="e">
        <f>B7*10</f>
        <v>#REF!</v>
      </c>
      <c r="D7" s="24"/>
      <c r="E7" s="25"/>
      <c r="F7" s="8"/>
      <c r="G7" s="26" t="s">
        <v>26</v>
      </c>
      <c r="H7" s="27" t="s">
        <v>27</v>
      </c>
      <c r="I7" s="153">
        <v>700</v>
      </c>
      <c r="J7" s="28" t="s">
        <v>28</v>
      </c>
      <c r="K7" s="162">
        <f>IF(k_zw&gt;0,1,0)</f>
        <v>1</v>
      </c>
      <c r="L7" s="30"/>
      <c r="M7" s="19" t="s">
        <v>15</v>
      </c>
      <c r="N7" s="11" t="s">
        <v>29</v>
      </c>
      <c r="O7" s="11" t="s">
        <v>30</v>
      </c>
      <c r="P7" s="11" t="s">
        <v>30</v>
      </c>
      <c r="Q7" s="11" t="s">
        <v>31</v>
      </c>
      <c r="R7" s="11" t="s">
        <v>31</v>
      </c>
      <c r="S7" s="11" t="s">
        <v>31</v>
      </c>
      <c r="T7" s="11"/>
      <c r="U7" s="11" t="s">
        <v>13</v>
      </c>
    </row>
    <row r="8" spans="1:22">
      <c r="A8" s="32" t="s">
        <v>32</v>
      </c>
      <c r="B8" s="183" t="e">
        <f>#REF!</f>
        <v>#REF!</v>
      </c>
      <c r="C8" s="33" t="e">
        <f t="shared" ref="C8:C10" si="0">B8*10</f>
        <v>#REF!</v>
      </c>
      <c r="D8" s="34" t="s">
        <v>33</v>
      </c>
      <c r="E8" s="184" t="e">
        <f>#REF!</f>
        <v>#REF!</v>
      </c>
      <c r="F8" s="8"/>
      <c r="G8" s="35" t="s">
        <v>34</v>
      </c>
      <c r="H8" s="36"/>
      <c r="I8" s="37"/>
      <c r="J8" s="28"/>
      <c r="K8" s="194"/>
      <c r="L8" s="30"/>
      <c r="M8" s="38">
        <f>x0</f>
        <v>0</v>
      </c>
      <c r="N8" s="39" t="e">
        <f>(1/(ESchiene*ISchiene))*((Achslast_4*10^3/2)/(8*(1/Lelastisch)^3)*EXP(-(1/Lelastisch)*ABS(M8-x4_)*10^3)*(COS(ABS(M8-x4_)*10^3/Lelastisch)+SIN(ABS(M8-x4_)*10^3/Lelastisch))+(Achslast_3*10^3/2)/(8*(1/Lelastisch)^3)*EXP(-(1/Lelastisch)*ABS(M8-x_3)*10^3)*(COS(ABS(M8-x_3)*10^3/Lelastisch)+SIN(ABS(M8-x_3)*10^3/Lelastisch))+(Achslast_2*10^3/2)/(8*(1/Lelastisch)^3)*EXP(-(1/Lelastisch)*ABS(M8-x_2)*10^3)*(COS(ABS(M8-x_2)*10^3/Lelastisch)+SIN(ABS(M8-x_2)*10^3/Lelastisch))+(Achslast_1*10^3/2)/(8*(1/Lelastisch)^3)*EXP(-(1/Lelastisch)*ABS(M8-x_1)*10^3)*(COS(ABS(M8-x_1)*10^3/Lelastisch)+SIN(ABS(M8-x_1)*10^3/Lelastisch)))</f>
        <v>#REF!</v>
      </c>
      <c r="O8" s="39" t="e">
        <f>((Achslast_4*10^3/2)/(4*(1/Lelastisch))*EXP(-(1/Lelastisch)*ABS(M8-x4_)*10^3)*(COS(ABS(M8-x4_)*10^3/Lelastisch)-SIN(ABS(M8-x4_)*10^3/Lelastisch))+(Achslast_3*10^3/2)/(4*(1/Lelastisch))*EXP(-(1/Lelastisch)*ABS(M8-x_3)*10^3)*(COS(ABS(M8-x_3)*10^3/Lelastisch)-SIN(ABS(M8-x_3)*10^3/Lelastisch))+(Achslast_2*10^3/2)/(4*(1/Lelastisch))*EXP(-(1/Lelastisch)*ABS(M8-x_2)*10^3)*(COS(ABS(M8-x_2)*10^3/Lelastisch)-SIN(ABS(M8-x_2)*10^3/Lelastisch))+(Achslast_1*10^3/2)/(4*(1/Lelastisch))*EXP(-(1/Lelastisch)*ABS(M8-x_1)*10^3)*(COS(ABS(M8-x_1)*10^3/Lelastisch)-SIN(ABS(M8-x_1)*10^3/Lelastisch)))*10^-6</f>
        <v>#REF!</v>
      </c>
      <c r="P8" s="39" t="e">
        <f>((Achslast_4*10^3*kd*kq/2)/(4*(1/Lelastisch))*EXP(-(1/Lelastisch)*ABS(M8-x4_)*10^3)*(COS(ABS(M8-x4_)*10^3/Lelastisch)-SIN(ABS(M8-x4_)*10^3/Lelastisch))+(Achslast_3*10^3*kd*kq/2)/(4*(1/Lelastisch))*EXP(-(1/Lelastisch)*ABS(M8-x_3)*10^3)*(COS(ABS(M8-x_3)*10^3/Lelastisch)-SIN(ABS(M8-x_3)*10^3/Lelastisch))+(Achslast_2*10^3*kd*kq/2)/(4*(1/Lelastisch))*EXP(-(1/Lelastisch)*ABS(M8-x_2)*10^3)*(COS(ABS(M8-x_2)*10^3/Lelastisch)-SIN(ABS(M8-x_2)*10^3/Lelastisch))+(Achslast_1*10^3*kd*kq/2)/(4*(1/Lelastisch))*EXP(-(1/Lelastisch)*ABS(M8-x_1)*10^3)*(COS(ABS(M8-x_1)*10^3/Lelastisch)-SIN(ABS(M8-x_1)*10^3/Lelastisch)))*10^-6</f>
        <v>#REF!</v>
      </c>
      <c r="Q8" s="39" t="e">
        <f>O8/WSchiene*10^6</f>
        <v>#REF!</v>
      </c>
      <c r="R8" s="40" t="e">
        <f>(O8/WSchiene)*10^6*(1+3*Faktor_Oberbauzustand*fPersonenzüge)</f>
        <v>#REF!</v>
      </c>
      <c r="S8" s="40" t="e">
        <f t="shared" ref="S8:S73" si="1">(O8/WSchiene)*10^6*(1+3*Faktor_Oberbauzustand*fGüterzüge)</f>
        <v>#REF!</v>
      </c>
      <c r="T8" s="40" t="e">
        <f>IF(N8=MAX($N$8:$N$330),N8,#N/A)</f>
        <v>#REF!</v>
      </c>
      <c r="U8" s="39" t="e">
        <f t="shared" ref="U8:U71" si="2">ktot*N8</f>
        <v>#REF!</v>
      </c>
      <c r="V8" s="139">
        <v>50</v>
      </c>
    </row>
    <row r="9" spans="1:22" ht="15.5">
      <c r="A9" s="32" t="s">
        <v>35</v>
      </c>
      <c r="B9" s="183" t="e">
        <f>#REF!</f>
        <v>#REF!</v>
      </c>
      <c r="C9" s="33" t="e">
        <f t="shared" si="0"/>
        <v>#REF!</v>
      </c>
      <c r="D9" s="34" t="s">
        <v>36</v>
      </c>
      <c r="E9" s="184" t="e">
        <f>#REF!</f>
        <v>#REF!</v>
      </c>
      <c r="F9" s="8"/>
      <c r="G9" s="26" t="s">
        <v>37</v>
      </c>
      <c r="H9" s="27" t="s">
        <v>38</v>
      </c>
      <c r="I9" s="153"/>
      <c r="J9" s="41" t="s">
        <v>39</v>
      </c>
      <c r="K9" s="194"/>
      <c r="L9" s="30"/>
      <c r="M9" s="38">
        <f t="shared" ref="M9:M72" si="3">MIN(M8+Dx,LSchiene)</f>
        <v>0.1</v>
      </c>
      <c r="N9" s="39" t="e">
        <f t="shared" ref="N9:N73" si="4">(1/(ESchiene*ISchiene))*((Achslast_4*10^3/2)/(8*(1/Lelastisch)^3)*EXP(-(1/Lelastisch)*ABS(M9-x4_)*10^3)*(COS(ABS(M9-x4_)*10^3/Lelastisch)+SIN(ABS(M9-x4_)*10^3/Lelastisch))+(Achslast_3*10^3/2)/(8*(1/Lelastisch)^3)*EXP(-(1/Lelastisch)*ABS(M9-x_3)*10^3)*(COS(ABS(M9-x_3)*10^3/Lelastisch)+SIN(ABS(M9-x_3)*10^3/Lelastisch))+(Achslast_2*10^3/2)/(8*(1/Lelastisch)^3)*EXP(-(1/Lelastisch)*ABS(M9-x_2)*10^3)*(COS(ABS(M9-x_2)*10^3/Lelastisch)+SIN(ABS(M9-x_2)*10^3/Lelastisch))+(Achslast_1*10^3/2)/(8*(1/Lelastisch)^3)*EXP(-(1/Lelastisch)*ABS(M9-x_1)*10^3)*(COS(ABS(M9-x_1)*10^3/Lelastisch)+SIN(ABS(M9-x_1)*10^3/Lelastisch)))</f>
        <v>#REF!</v>
      </c>
      <c r="O9" s="39" t="e">
        <f t="shared" ref="O9:O73" si="5">((Achslast_4*10^3/2)/(4*(1/Lelastisch))*EXP(-(1/Lelastisch)*ABS(M9-x4_)*10^3)*(COS(ABS(M9-x4_)*10^3/Lelastisch)-SIN(ABS(M9-x4_)*10^3/Lelastisch))+(Achslast_3*10^3/2)/(4*(1/Lelastisch))*EXP(-(1/Lelastisch)*ABS(M9-x_3)*10^3)*(COS(ABS(M9-x_3)*10^3/Lelastisch)-SIN(ABS(M9-x_3)*10^3/Lelastisch))+(Achslast_2*10^3/2)/(4*(1/Lelastisch))*EXP(-(1/Lelastisch)*ABS(M9-x_2)*10^3)*(COS(ABS(M9-x_2)*10^3/Lelastisch)-SIN(ABS(M9-x_2)*10^3/Lelastisch))+(Achslast_1*10^3/2)/(4*(1/Lelastisch))*EXP(-(1/Lelastisch)*ABS(M9-x_1)*10^3)*(COS(ABS(M9-x_1)*10^3/Lelastisch)-SIN(ABS(M9-x_1)*10^3/Lelastisch)))*10^-6</f>
        <v>#REF!</v>
      </c>
      <c r="P9" s="39" t="e">
        <f t="shared" ref="P9:P73" si="6">((Achslast_4*10^3*kd*kq/2)/(4*(1/Lelastisch))*EXP(-(1/Lelastisch)*ABS(M9-x4_)*10^3)*(COS(ABS(M9-x4_)*10^3/Lelastisch)-SIN(ABS(M9-x4_)*10^3/Lelastisch))+(Achslast_3*10^3*kd*kq/2)/(4*(1/Lelastisch))*EXP(-(1/Lelastisch)*ABS(M9-x_3)*10^3)*(COS(ABS(M9-x_3)*10^3/Lelastisch)-SIN(ABS(M9-x_3)*10^3/Lelastisch))+(Achslast_2*10^3*kd*kq/2)/(4*(1/Lelastisch))*EXP(-(1/Lelastisch)*ABS(M9-x_2)*10^3)*(COS(ABS(M9-x_2)*10^3/Lelastisch)-SIN(ABS(M9-x_2)*10^3/Lelastisch))+(Achslast_1*10^3*kd*kq/2)/(4*(1/Lelastisch))*EXP(-(1/Lelastisch)*ABS(M9-x_1)*10^3)*(COS(ABS(M9-x_1)*10^3/Lelastisch)-SIN(ABS(M9-x_1)*10^3/Lelastisch)))*10^-6</f>
        <v>#REF!</v>
      </c>
      <c r="Q9" s="39" t="e">
        <f t="shared" ref="Q9:Q73" si="7">P9/WSchiene*10^6</f>
        <v>#REF!</v>
      </c>
      <c r="R9" s="40" t="e">
        <f t="shared" ref="R9:R73" si="8">(O9/WSchiene)*10^6*(1+3*Faktor_Oberbauzustand*fPersonenzüge)</f>
        <v>#REF!</v>
      </c>
      <c r="S9" s="40" t="e">
        <f t="shared" si="1"/>
        <v>#REF!</v>
      </c>
      <c r="T9" s="40" t="e">
        <f>IF(N9=MAX($N$8:$N$330),N9,#N/A)</f>
        <v>#REF!</v>
      </c>
      <c r="U9" s="39" t="e">
        <f t="shared" si="2"/>
        <v>#REF!</v>
      </c>
      <c r="V9" s="139" t="e">
        <f>MAX($U$8:$U$330)</f>
        <v>#REF!</v>
      </c>
    </row>
    <row r="10" spans="1:22" ht="15.5">
      <c r="A10" s="42" t="s">
        <v>40</v>
      </c>
      <c r="B10" s="185" t="e">
        <f>#REF!</f>
        <v>#REF!</v>
      </c>
      <c r="C10" s="43" t="e">
        <f t="shared" si="0"/>
        <v>#REF!</v>
      </c>
      <c r="D10" s="44" t="s">
        <v>41</v>
      </c>
      <c r="E10" s="186" t="e">
        <f>#REF!</f>
        <v>#REF!</v>
      </c>
      <c r="F10" s="8"/>
      <c r="G10" s="26" t="s">
        <v>42</v>
      </c>
      <c r="H10" s="27" t="s">
        <v>43</v>
      </c>
      <c r="I10" s="37">
        <f>ASchwelle</f>
        <v>0.1739</v>
      </c>
      <c r="J10" s="41" t="s">
        <v>44</v>
      </c>
      <c r="K10" s="194"/>
      <c r="L10" s="30"/>
      <c r="M10" s="38">
        <f t="shared" si="3"/>
        <v>0.2</v>
      </c>
      <c r="N10" s="39" t="e">
        <f t="shared" si="4"/>
        <v>#REF!</v>
      </c>
      <c r="O10" s="39" t="e">
        <f t="shared" si="5"/>
        <v>#REF!</v>
      </c>
      <c r="P10" s="39" t="e">
        <f t="shared" si="6"/>
        <v>#REF!</v>
      </c>
      <c r="Q10" s="39" t="e">
        <f t="shared" si="7"/>
        <v>#REF!</v>
      </c>
      <c r="R10" s="40" t="e">
        <f t="shared" si="8"/>
        <v>#REF!</v>
      </c>
      <c r="S10" s="40" t="e">
        <f t="shared" si="1"/>
        <v>#REF!</v>
      </c>
      <c r="T10" s="40" t="e">
        <f>IF(N10=MAX($N$8:$N$330),N10,#N/A)</f>
        <v>#REF!</v>
      </c>
      <c r="U10" s="39" t="e">
        <f t="shared" si="2"/>
        <v>#REF!</v>
      </c>
      <c r="V10" s="139" t="e">
        <f t="shared" ref="V10:V73" si="9">MAX($U$8:$U$330)</f>
        <v>#REF!</v>
      </c>
    </row>
    <row r="11" spans="1:22" ht="15.5">
      <c r="A11" s="45" t="s">
        <v>45</v>
      </c>
      <c r="B11" s="46"/>
      <c r="C11" s="46"/>
      <c r="D11" s="46"/>
      <c r="E11" s="46"/>
      <c r="F11" s="8"/>
      <c r="G11" s="26" t="s">
        <v>26</v>
      </c>
      <c r="H11" s="27" t="s">
        <v>46</v>
      </c>
      <c r="I11" s="37">
        <f>c_Besohlung*A_Besohlung*10^3</f>
        <v>0</v>
      </c>
      <c r="J11" s="41" t="s">
        <v>47</v>
      </c>
      <c r="K11" s="194"/>
      <c r="L11" s="30"/>
      <c r="M11" s="38">
        <f>MIN(M10+Dx,LSchiene)</f>
        <v>0.30000000000000004</v>
      </c>
      <c r="N11" s="39" t="e">
        <f t="shared" si="4"/>
        <v>#REF!</v>
      </c>
      <c r="O11" s="39" t="e">
        <f t="shared" si="5"/>
        <v>#REF!</v>
      </c>
      <c r="P11" s="39" t="e">
        <f t="shared" si="6"/>
        <v>#REF!</v>
      </c>
      <c r="Q11" s="39" t="e">
        <f t="shared" si="7"/>
        <v>#REF!</v>
      </c>
      <c r="R11" s="40" t="e">
        <f t="shared" si="8"/>
        <v>#REF!</v>
      </c>
      <c r="S11" s="40" t="e">
        <f t="shared" si="1"/>
        <v>#REF!</v>
      </c>
      <c r="T11" s="40" t="e">
        <f>IF(N11=MAX($N$8:$N$330),N11,#N/A)</f>
        <v>#REF!</v>
      </c>
      <c r="U11" s="39" t="e">
        <f t="shared" si="2"/>
        <v>#REF!</v>
      </c>
      <c r="V11" s="139" t="e">
        <f t="shared" si="9"/>
        <v>#REF!</v>
      </c>
    </row>
    <row r="12" spans="1:22">
      <c r="A12" s="47" t="s">
        <v>48</v>
      </c>
      <c r="B12" s="199" t="s">
        <v>49</v>
      </c>
      <c r="C12" s="114"/>
      <c r="D12" s="48"/>
      <c r="E12" s="162">
        <f>IF(OR(B12="46E1",B12="54E2",B12="60E1"),1,0)</f>
        <v>1</v>
      </c>
      <c r="F12" s="8"/>
      <c r="G12" s="35" t="s">
        <v>50</v>
      </c>
      <c r="H12" s="36"/>
      <c r="I12" s="37"/>
      <c r="J12" s="28"/>
      <c r="K12" s="194"/>
      <c r="L12" s="30"/>
      <c r="M12" s="38"/>
      <c r="N12" s="39"/>
      <c r="O12" s="39"/>
      <c r="P12" s="39"/>
      <c r="Q12" s="39"/>
      <c r="R12" s="40"/>
      <c r="S12" s="40"/>
      <c r="T12" s="40"/>
      <c r="U12" s="39">
        <f t="shared" si="2"/>
        <v>0</v>
      </c>
      <c r="V12" s="139" t="e">
        <f t="shared" si="9"/>
        <v>#REF!</v>
      </c>
    </row>
    <row r="13" spans="1:22" ht="15.5">
      <c r="A13" s="32" t="s">
        <v>51</v>
      </c>
      <c r="B13" s="50" t="s">
        <v>52</v>
      </c>
      <c r="C13" s="187">
        <v>210000</v>
      </c>
      <c r="D13" s="41" t="s">
        <v>53</v>
      </c>
      <c r="E13" s="189"/>
      <c r="F13" s="8"/>
      <c r="G13" s="26" t="s">
        <v>37</v>
      </c>
      <c r="H13" s="53" t="s">
        <v>54</v>
      </c>
      <c r="I13" s="153">
        <v>0.2</v>
      </c>
      <c r="J13" s="41" t="s">
        <v>39</v>
      </c>
      <c r="K13" s="162">
        <f>IF(cSchotter&gt;0,1,0)</f>
        <v>1</v>
      </c>
      <c r="L13" s="5"/>
      <c r="M13" s="38">
        <f>MIN(M11+Dx,LSchiene)</f>
        <v>0.4</v>
      </c>
      <c r="N13" s="39" t="e">
        <f t="shared" si="4"/>
        <v>#REF!</v>
      </c>
      <c r="O13" s="39" t="e">
        <f t="shared" si="5"/>
        <v>#REF!</v>
      </c>
      <c r="P13" s="39" t="e">
        <f t="shared" si="6"/>
        <v>#REF!</v>
      </c>
      <c r="Q13" s="39" t="e">
        <f t="shared" si="7"/>
        <v>#REF!</v>
      </c>
      <c r="R13" s="40" t="e">
        <f t="shared" si="8"/>
        <v>#REF!</v>
      </c>
      <c r="S13" s="40" t="e">
        <f t="shared" si="1"/>
        <v>#REF!</v>
      </c>
      <c r="T13" s="40" t="e">
        <f>IF(N13=MAX($N$8:$N$330),N13,#N/A)</f>
        <v>#REF!</v>
      </c>
      <c r="U13" s="39" t="e">
        <f t="shared" si="2"/>
        <v>#REF!</v>
      </c>
      <c r="V13" s="139" t="e">
        <f t="shared" si="9"/>
        <v>#REF!</v>
      </c>
    </row>
    <row r="14" spans="1:22" ht="15.5">
      <c r="A14" s="32" t="s">
        <v>55</v>
      </c>
      <c r="B14" s="50" t="s">
        <v>56</v>
      </c>
      <c r="C14" s="187" t="e">
        <f>IF(B12="46E1",Komponenten!#REF!,IF(B12="54E2",Komponenten!D3,Komponenten!D4))</f>
        <v>#REF!</v>
      </c>
      <c r="D14" s="41" t="s">
        <v>57</v>
      </c>
      <c r="E14" s="190"/>
      <c r="F14" s="8"/>
      <c r="G14" s="26" t="s">
        <v>42</v>
      </c>
      <c r="H14" s="53" t="s">
        <v>58</v>
      </c>
      <c r="I14" s="37">
        <f>ASchwelle</f>
        <v>0.1739</v>
      </c>
      <c r="J14" s="41" t="s">
        <v>44</v>
      </c>
      <c r="K14" s="194"/>
      <c r="L14" s="5"/>
      <c r="M14" s="38">
        <f t="shared" si="3"/>
        <v>0.5</v>
      </c>
      <c r="N14" s="39" t="e">
        <f t="shared" si="4"/>
        <v>#REF!</v>
      </c>
      <c r="O14" s="39" t="e">
        <f t="shared" si="5"/>
        <v>#REF!</v>
      </c>
      <c r="P14" s="39" t="e">
        <f t="shared" si="6"/>
        <v>#REF!</v>
      </c>
      <c r="Q14" s="39" t="e">
        <f t="shared" si="7"/>
        <v>#REF!</v>
      </c>
      <c r="R14" s="40" t="e">
        <f t="shared" si="8"/>
        <v>#REF!</v>
      </c>
      <c r="S14" s="40" t="e">
        <f t="shared" si="1"/>
        <v>#REF!</v>
      </c>
      <c r="T14" s="40" t="e">
        <f>IF(N14=MAX($N$8:$N$330),N14,#N/A)</f>
        <v>#REF!</v>
      </c>
      <c r="U14" s="39" t="e">
        <f t="shared" si="2"/>
        <v>#REF!</v>
      </c>
      <c r="V14" s="139" t="e">
        <f t="shared" si="9"/>
        <v>#REF!</v>
      </c>
    </row>
    <row r="15" spans="1:22" ht="15.5">
      <c r="A15" s="42" t="s">
        <v>59</v>
      </c>
      <c r="B15" s="54" t="s">
        <v>60</v>
      </c>
      <c r="C15" s="188" t="e">
        <f>IF(B12="46E1",Komponenten!#REF!,IF(B12="54E2",Komponenten!B3,Komponenten!B4))</f>
        <v>#REF!</v>
      </c>
      <c r="D15" s="55" t="s">
        <v>61</v>
      </c>
      <c r="E15" s="190"/>
      <c r="F15" s="8"/>
      <c r="G15" s="26" t="s">
        <v>26</v>
      </c>
      <c r="H15" s="27" t="s">
        <v>62</v>
      </c>
      <c r="I15" s="37">
        <f>cSchotter*A_Schotter*10^3</f>
        <v>34.78</v>
      </c>
      <c r="J15" s="41" t="s">
        <v>47</v>
      </c>
      <c r="K15" s="194"/>
      <c r="L15" s="5"/>
      <c r="M15" s="38">
        <f t="shared" si="3"/>
        <v>0.6</v>
      </c>
      <c r="N15" s="39" t="e">
        <f t="shared" si="4"/>
        <v>#REF!</v>
      </c>
      <c r="O15" s="39" t="e">
        <f t="shared" si="5"/>
        <v>#REF!</v>
      </c>
      <c r="P15" s="39" t="e">
        <f t="shared" si="6"/>
        <v>#REF!</v>
      </c>
      <c r="Q15" s="39" t="e">
        <f t="shared" si="7"/>
        <v>#REF!</v>
      </c>
      <c r="R15" s="40" t="e">
        <f t="shared" si="8"/>
        <v>#REF!</v>
      </c>
      <c r="S15" s="40" t="e">
        <f t="shared" si="1"/>
        <v>#REF!</v>
      </c>
      <c r="T15" s="40" t="e">
        <f>IF(N15=MAX($N$8:$N$330),N15,#N/A)</f>
        <v>#REF!</v>
      </c>
      <c r="U15" s="39" t="e">
        <f t="shared" si="2"/>
        <v>#REF!</v>
      </c>
      <c r="V15" s="139" t="e">
        <f t="shared" si="9"/>
        <v>#REF!</v>
      </c>
    </row>
    <row r="16" spans="1:22" ht="15.5">
      <c r="A16" s="45" t="s">
        <v>63</v>
      </c>
      <c r="B16" s="46"/>
      <c r="C16" s="56"/>
      <c r="D16" s="56"/>
      <c r="E16" s="191"/>
      <c r="F16" s="8"/>
      <c r="G16" s="26" t="s">
        <v>64</v>
      </c>
      <c r="H16" s="53" t="s">
        <v>65</v>
      </c>
      <c r="I16" s="154">
        <v>0.3</v>
      </c>
      <c r="J16" s="41" t="s">
        <v>66</v>
      </c>
      <c r="K16" s="194"/>
      <c r="L16" s="5"/>
      <c r="M16" s="38">
        <f t="shared" si="3"/>
        <v>0.7</v>
      </c>
      <c r="N16" s="39" t="e">
        <f t="shared" si="4"/>
        <v>#REF!</v>
      </c>
      <c r="O16" s="39" t="e">
        <f t="shared" si="5"/>
        <v>#REF!</v>
      </c>
      <c r="P16" s="39" t="e">
        <f t="shared" si="6"/>
        <v>#REF!</v>
      </c>
      <c r="Q16" s="39" t="e">
        <f t="shared" si="7"/>
        <v>#REF!</v>
      </c>
      <c r="R16" s="40" t="e">
        <f t="shared" si="8"/>
        <v>#REF!</v>
      </c>
      <c r="S16" s="40" t="e">
        <f t="shared" si="1"/>
        <v>#REF!</v>
      </c>
      <c r="T16" s="40" t="e">
        <f>IF(N16=MAX($N$8:$N$330),N16,#N/A)</f>
        <v>#REF!</v>
      </c>
      <c r="U16" s="39" t="e">
        <f t="shared" si="2"/>
        <v>#REF!</v>
      </c>
      <c r="V16" s="139" t="e">
        <f t="shared" si="9"/>
        <v>#REF!</v>
      </c>
    </row>
    <row r="17" spans="1:22" ht="15.5">
      <c r="A17" s="47" t="s">
        <v>67</v>
      </c>
      <c r="B17" s="199" t="s">
        <v>68</v>
      </c>
      <c r="C17" s="114"/>
      <c r="D17" s="48"/>
      <c r="E17" s="162">
        <f>IF(OR(B17="B91",B17="B06",B17="HD",B17="Holz",B17="Stahl",,B17="Y-Stahl"),1,0)</f>
        <v>1</v>
      </c>
      <c r="F17" s="8"/>
      <c r="G17" s="26" t="s">
        <v>69</v>
      </c>
      <c r="H17" s="53" t="s">
        <v>70</v>
      </c>
      <c r="I17" s="37">
        <v>75</v>
      </c>
      <c r="J17" s="41" t="s">
        <v>71</v>
      </c>
      <c r="K17" s="194"/>
      <c r="L17" s="5"/>
      <c r="M17" s="38"/>
      <c r="N17" s="39"/>
      <c r="O17" s="39"/>
      <c r="P17" s="39"/>
      <c r="Q17" s="39"/>
      <c r="R17" s="40"/>
      <c r="S17" s="40"/>
      <c r="T17" s="40"/>
      <c r="U17" s="39">
        <f t="shared" si="2"/>
        <v>0</v>
      </c>
      <c r="V17" s="139" t="e">
        <f t="shared" si="9"/>
        <v>#REF!</v>
      </c>
    </row>
    <row r="18" spans="1:22" ht="15.5">
      <c r="A18" s="26" t="s">
        <v>72</v>
      </c>
      <c r="B18" s="27" t="s">
        <v>73</v>
      </c>
      <c r="C18" s="197">
        <f>IF(B17="B91",2.6,IF(B17="B06",2.6,"Eingabe"))</f>
        <v>2.6</v>
      </c>
      <c r="D18" s="41" t="s">
        <v>15</v>
      </c>
      <c r="E18" s="190"/>
      <c r="F18" s="8"/>
      <c r="G18" s="35" t="s">
        <v>74</v>
      </c>
      <c r="H18" s="36"/>
      <c r="I18" s="37"/>
      <c r="J18" s="28"/>
      <c r="K18" s="194"/>
      <c r="L18" s="5"/>
      <c r="M18" s="38">
        <f>MIN(M16+Dx,LSchiene)</f>
        <v>0.79999999999999993</v>
      </c>
      <c r="N18" s="39" t="e">
        <f t="shared" si="4"/>
        <v>#REF!</v>
      </c>
      <c r="O18" s="39" t="e">
        <f t="shared" si="5"/>
        <v>#REF!</v>
      </c>
      <c r="P18" s="39" t="e">
        <f t="shared" si="6"/>
        <v>#REF!</v>
      </c>
      <c r="Q18" s="39" t="e">
        <f t="shared" si="7"/>
        <v>#REF!</v>
      </c>
      <c r="R18" s="40" t="e">
        <f t="shared" si="8"/>
        <v>#REF!</v>
      </c>
      <c r="S18" s="40" t="e">
        <f t="shared" si="1"/>
        <v>#REF!</v>
      </c>
      <c r="T18" s="40" t="e">
        <f t="shared" ref="T18:T81" si="10">IF(N18=MAX($N$8:$N$330),N18,#N/A)</f>
        <v>#REF!</v>
      </c>
      <c r="U18" s="39" t="e">
        <f t="shared" si="2"/>
        <v>#REF!</v>
      </c>
      <c r="V18" s="139" t="e">
        <f t="shared" si="9"/>
        <v>#REF!</v>
      </c>
    </row>
    <row r="19" spans="1:22" ht="15.5">
      <c r="A19" s="26" t="s">
        <v>75</v>
      </c>
      <c r="B19" s="27" t="s">
        <v>76</v>
      </c>
      <c r="C19" s="75">
        <f>ASchwelle*2/(LSchwelle-LFrei)</f>
        <v>0.16561904761904761</v>
      </c>
      <c r="D19" s="41" t="s">
        <v>15</v>
      </c>
      <c r="E19" s="190"/>
      <c r="F19" s="8"/>
      <c r="G19" s="26" t="s">
        <v>37</v>
      </c>
      <c r="H19" s="53" t="s">
        <v>77</v>
      </c>
      <c r="I19" s="155"/>
      <c r="J19" s="41" t="s">
        <v>39</v>
      </c>
      <c r="K19" s="194"/>
      <c r="L19" s="5"/>
      <c r="M19" s="38">
        <f t="shared" si="3"/>
        <v>0.89999999999999991</v>
      </c>
      <c r="N19" s="39" t="e">
        <f t="shared" si="4"/>
        <v>#REF!</v>
      </c>
      <c r="O19" s="39" t="e">
        <f t="shared" si="5"/>
        <v>#REF!</v>
      </c>
      <c r="P19" s="39" t="e">
        <f t="shared" si="6"/>
        <v>#REF!</v>
      </c>
      <c r="Q19" s="39" t="e">
        <f t="shared" si="7"/>
        <v>#REF!</v>
      </c>
      <c r="R19" s="40" t="e">
        <f t="shared" si="8"/>
        <v>#REF!</v>
      </c>
      <c r="S19" s="40" t="e">
        <f t="shared" si="1"/>
        <v>#REF!</v>
      </c>
      <c r="T19" s="40" t="e">
        <f t="shared" si="10"/>
        <v>#REF!</v>
      </c>
      <c r="U19" s="39" t="e">
        <f t="shared" si="2"/>
        <v>#REF!</v>
      </c>
      <c r="V19" s="139" t="e">
        <f t="shared" si="9"/>
        <v>#REF!</v>
      </c>
    </row>
    <row r="20" spans="1:22" ht="22.5" customHeight="1">
      <c r="A20" s="57" t="s">
        <v>78</v>
      </c>
      <c r="B20" s="53" t="s">
        <v>79</v>
      </c>
      <c r="C20" s="198">
        <v>0.5</v>
      </c>
      <c r="D20" s="41" t="s">
        <v>15</v>
      </c>
      <c r="E20" s="190"/>
      <c r="F20" s="8"/>
      <c r="G20" s="26" t="s">
        <v>80</v>
      </c>
      <c r="H20" s="53" t="s">
        <v>81</v>
      </c>
      <c r="I20" s="61">
        <f>MIN((LSchwelle-LFrei)/2+2*d_Schotter/TAN(aLast*PI()/180),(LSchwelle-LFrei)/2+LFrei/2+d_Schotter/TAN(aLast*PI()/180))*MIN(BSchwelle+2*d_Schotter/TAN(aLast*PI()/180),a)</f>
        <v>0.39518132236886533</v>
      </c>
      <c r="J20" s="41" t="s">
        <v>44</v>
      </c>
      <c r="K20" s="194"/>
      <c r="L20" s="5"/>
      <c r="M20" s="38">
        <f t="shared" si="3"/>
        <v>0.99999999999999989</v>
      </c>
      <c r="N20" s="39" t="e">
        <f t="shared" si="4"/>
        <v>#REF!</v>
      </c>
      <c r="O20" s="39" t="e">
        <f t="shared" si="5"/>
        <v>#REF!</v>
      </c>
      <c r="P20" s="39" t="e">
        <f t="shared" si="6"/>
        <v>#REF!</v>
      </c>
      <c r="Q20" s="39" t="e">
        <f t="shared" si="7"/>
        <v>#REF!</v>
      </c>
      <c r="R20" s="40" t="e">
        <f t="shared" si="8"/>
        <v>#REF!</v>
      </c>
      <c r="S20" s="40" t="e">
        <f t="shared" si="1"/>
        <v>#REF!</v>
      </c>
      <c r="T20" s="40" t="e">
        <f t="shared" si="10"/>
        <v>#REF!</v>
      </c>
      <c r="U20" s="39" t="e">
        <f t="shared" si="2"/>
        <v>#REF!</v>
      </c>
      <c r="V20" s="139" t="e">
        <f t="shared" si="9"/>
        <v>#REF!</v>
      </c>
    </row>
    <row r="21" spans="1:22" ht="15.5">
      <c r="A21" s="58" t="s">
        <v>82</v>
      </c>
      <c r="B21" s="59" t="s">
        <v>83</v>
      </c>
      <c r="C21" s="60">
        <f>IF(B17="B91",Komponenten!H13,IF(B17="B06",Komponenten!H14,"Eingabe"))</f>
        <v>0.1739</v>
      </c>
      <c r="D21" s="55" t="s">
        <v>44</v>
      </c>
      <c r="E21" s="190"/>
      <c r="F21" s="8"/>
      <c r="G21" s="65" t="s">
        <v>26</v>
      </c>
      <c r="H21" s="66" t="s">
        <v>84</v>
      </c>
      <c r="I21" s="67">
        <f>cUSM*AUSM*10^3</f>
        <v>0</v>
      </c>
      <c r="J21" s="68" t="s">
        <v>47</v>
      </c>
      <c r="K21" s="194"/>
      <c r="L21" s="5"/>
      <c r="M21" s="38">
        <f t="shared" si="3"/>
        <v>1.0999999999999999</v>
      </c>
      <c r="N21" s="39" t="e">
        <f t="shared" si="4"/>
        <v>#REF!</v>
      </c>
      <c r="O21" s="39" t="e">
        <f t="shared" si="5"/>
        <v>#REF!</v>
      </c>
      <c r="P21" s="39" t="e">
        <f t="shared" si="6"/>
        <v>#REF!</v>
      </c>
      <c r="Q21" s="39" t="e">
        <f t="shared" si="7"/>
        <v>#REF!</v>
      </c>
      <c r="R21" s="40" t="e">
        <f t="shared" si="8"/>
        <v>#REF!</v>
      </c>
      <c r="S21" s="40" t="e">
        <f t="shared" si="1"/>
        <v>#REF!</v>
      </c>
      <c r="T21" s="40" t="e">
        <f t="shared" si="10"/>
        <v>#REF!</v>
      </c>
      <c r="U21" s="39" t="e">
        <f t="shared" si="2"/>
        <v>#REF!</v>
      </c>
      <c r="V21" s="139" t="e">
        <f t="shared" si="9"/>
        <v>#REF!</v>
      </c>
    </row>
    <row r="22" spans="1:22">
      <c r="A22" s="45" t="s">
        <v>85</v>
      </c>
      <c r="B22" s="46"/>
      <c r="C22" s="56"/>
      <c r="D22" s="56"/>
      <c r="E22" s="191"/>
      <c r="F22" s="8"/>
      <c r="G22" s="35" t="s">
        <v>86</v>
      </c>
      <c r="H22" s="69"/>
      <c r="I22" s="36"/>
      <c r="J22" s="70"/>
      <c r="K22" s="194"/>
      <c r="L22" s="5"/>
      <c r="M22" s="38">
        <f t="shared" si="3"/>
        <v>1.2</v>
      </c>
      <c r="N22" s="39" t="e">
        <f t="shared" si="4"/>
        <v>#REF!</v>
      </c>
      <c r="O22" s="39" t="e">
        <f t="shared" si="5"/>
        <v>#REF!</v>
      </c>
      <c r="P22" s="39" t="e">
        <f t="shared" si="6"/>
        <v>#REF!</v>
      </c>
      <c r="Q22" s="39" t="e">
        <f t="shared" si="7"/>
        <v>#REF!</v>
      </c>
      <c r="R22" s="40" t="e">
        <f t="shared" si="8"/>
        <v>#REF!</v>
      </c>
      <c r="S22" s="40" t="e">
        <f t="shared" si="1"/>
        <v>#REF!</v>
      </c>
      <c r="T22" s="40" t="e">
        <f t="shared" si="10"/>
        <v>#REF!</v>
      </c>
      <c r="U22" s="39" t="e">
        <f t="shared" si="2"/>
        <v>#REF!</v>
      </c>
      <c r="V22" s="139" t="e">
        <f t="shared" si="9"/>
        <v>#REF!</v>
      </c>
    </row>
    <row r="23" spans="1:22" ht="15.5">
      <c r="A23" s="62" t="s">
        <v>87</v>
      </c>
      <c r="B23" s="63" t="s">
        <v>88</v>
      </c>
      <c r="C23" s="152">
        <v>0.6</v>
      </c>
      <c r="D23" s="64" t="s">
        <v>15</v>
      </c>
      <c r="E23" s="162">
        <f>IF(a&gt;0,1,0)</f>
        <v>1</v>
      </c>
      <c r="F23" s="8"/>
      <c r="G23" s="26" t="s">
        <v>37</v>
      </c>
      <c r="H23" s="53" t="s">
        <v>89</v>
      </c>
      <c r="I23" s="153">
        <v>0.2</v>
      </c>
      <c r="J23" s="41" t="s">
        <v>39</v>
      </c>
      <c r="K23" s="162">
        <f>IF(cUntergrund&gt;0,1,0)</f>
        <v>1</v>
      </c>
      <c r="L23" s="5"/>
      <c r="M23" s="38">
        <f t="shared" si="3"/>
        <v>1.3</v>
      </c>
      <c r="N23" s="39" t="e">
        <f t="shared" si="4"/>
        <v>#REF!</v>
      </c>
      <c r="O23" s="39" t="e">
        <f t="shared" si="5"/>
        <v>#REF!</v>
      </c>
      <c r="P23" s="39" t="e">
        <f t="shared" si="6"/>
        <v>#REF!</v>
      </c>
      <c r="Q23" s="39" t="e">
        <f t="shared" si="7"/>
        <v>#REF!</v>
      </c>
      <c r="R23" s="40" t="e">
        <f t="shared" si="8"/>
        <v>#REF!</v>
      </c>
      <c r="S23" s="40" t="e">
        <f t="shared" si="1"/>
        <v>#REF!</v>
      </c>
      <c r="T23" s="40" t="e">
        <f t="shared" si="10"/>
        <v>#REF!</v>
      </c>
      <c r="U23" s="39" t="e">
        <f t="shared" si="2"/>
        <v>#REF!</v>
      </c>
      <c r="V23" s="139" t="e">
        <f t="shared" si="9"/>
        <v>#REF!</v>
      </c>
    </row>
    <row r="24" spans="1:22" ht="15.5">
      <c r="A24" s="45" t="s">
        <v>90</v>
      </c>
      <c r="B24" s="82"/>
      <c r="C24" s="83"/>
      <c r="D24" s="160"/>
      <c r="E24" s="163"/>
      <c r="F24" s="8"/>
      <c r="G24" s="26" t="s">
        <v>42</v>
      </c>
      <c r="H24" s="53" t="s">
        <v>91</v>
      </c>
      <c r="I24" s="61">
        <f>IF(cUSM=0,A_Schotter,AUSM)</f>
        <v>0.1739</v>
      </c>
      <c r="J24" s="41" t="s">
        <v>44</v>
      </c>
      <c r="K24" s="194"/>
      <c r="L24" s="5"/>
      <c r="M24" s="38">
        <f t="shared" si="3"/>
        <v>1.4000000000000001</v>
      </c>
      <c r="N24" s="39" t="e">
        <f t="shared" si="4"/>
        <v>#REF!</v>
      </c>
      <c r="O24" s="39" t="e">
        <f t="shared" si="5"/>
        <v>#REF!</v>
      </c>
      <c r="P24" s="39" t="e">
        <f>((Achslast_4*10^3*kd*kq/2)/(4*(1/Lelastisch))*EXP(-(1/Lelastisch)*ABS(M24-x4_)*10^3)*(COS(ABS(M24-x4_)*10^3/Lelastisch)-SIN(ABS(M24-x4_)*10^3/Lelastisch))+(Achslast_3*10^3*kd*kq/2)/(4*(1/Lelastisch))*EXP(-(1/Lelastisch)*ABS(M24-x_3)*10^3)*(COS(ABS(M24-x_3)*10^3/Lelastisch)-SIN(ABS(M24-x_3)*10^3/Lelastisch))+(Achslast_2*10^3*kd*kq/2)/(4*(1/Lelastisch))*EXP(-(1/Lelastisch)*ABS(M24-x_2)*10^3)*(COS(ABS(M24-x_2)*10^3/Lelastisch)-SIN(ABS(M24-x_2)*10^3/Lelastisch))+(Achslast_1*10^3*kd*kq/2)/(4*(1/Lelastisch))*EXP(-(1/Lelastisch)*ABS(M24-x_1)*10^3)*(COS(ABS(M24-x_1)*10^3/Lelastisch)-SIN(ABS(M24-x_1)*10^3/Lelastisch)))*10^-6</f>
        <v>#REF!</v>
      </c>
      <c r="Q24" s="39" t="e">
        <f t="shared" si="7"/>
        <v>#REF!</v>
      </c>
      <c r="R24" s="40" t="e">
        <f t="shared" si="8"/>
        <v>#REF!</v>
      </c>
      <c r="S24" s="40" t="e">
        <f t="shared" si="1"/>
        <v>#REF!</v>
      </c>
      <c r="T24" s="40" t="e">
        <f t="shared" si="10"/>
        <v>#REF!</v>
      </c>
      <c r="U24" s="39" t="e">
        <f t="shared" si="2"/>
        <v>#REF!</v>
      </c>
      <c r="V24" s="139" t="e">
        <f t="shared" si="9"/>
        <v>#REF!</v>
      </c>
    </row>
    <row r="25" spans="1:22" ht="15.5">
      <c r="A25" s="85"/>
      <c r="B25" s="144" t="s">
        <v>92</v>
      </c>
      <c r="C25" s="145" t="e">
        <f>MAX(N8:N310)</f>
        <v>#REF!</v>
      </c>
      <c r="D25" s="146" t="s">
        <v>93</v>
      </c>
      <c r="E25" s="162"/>
      <c r="F25" s="8"/>
      <c r="G25" s="26" t="s">
        <v>26</v>
      </c>
      <c r="H25" s="27" t="s">
        <v>94</v>
      </c>
      <c r="I25" s="37">
        <f>cUntergrund*AUntergrund*10^3</f>
        <v>34.78</v>
      </c>
      <c r="J25" s="41" t="s">
        <v>47</v>
      </c>
      <c r="K25" s="194"/>
      <c r="L25" s="5"/>
      <c r="M25" s="38">
        <f t="shared" si="3"/>
        <v>1.5000000000000002</v>
      </c>
      <c r="N25" s="39" t="e">
        <f t="shared" si="4"/>
        <v>#REF!</v>
      </c>
      <c r="O25" s="39" t="e">
        <f t="shared" si="5"/>
        <v>#REF!</v>
      </c>
      <c r="P25" s="39" t="e">
        <f t="shared" si="6"/>
        <v>#REF!</v>
      </c>
      <c r="Q25" s="39" t="e">
        <f t="shared" si="7"/>
        <v>#REF!</v>
      </c>
      <c r="R25" s="40" t="e">
        <f t="shared" si="8"/>
        <v>#REF!</v>
      </c>
      <c r="S25" s="40" t="e">
        <f t="shared" si="1"/>
        <v>#REF!</v>
      </c>
      <c r="T25" s="40" t="e">
        <f t="shared" si="10"/>
        <v>#REF!</v>
      </c>
      <c r="U25" s="39" t="e">
        <f t="shared" si="2"/>
        <v>#REF!</v>
      </c>
      <c r="V25" s="139" t="e">
        <f t="shared" si="9"/>
        <v>#REF!</v>
      </c>
    </row>
    <row r="26" spans="1:22">
      <c r="A26" s="49"/>
      <c r="B26" s="49"/>
      <c r="C26" s="49"/>
      <c r="D26" s="49"/>
      <c r="E26" s="49"/>
      <c r="F26" s="8"/>
      <c r="G26" s="72" t="s">
        <v>95</v>
      </c>
      <c r="H26" s="73"/>
      <c r="I26" s="74"/>
      <c r="J26" s="28"/>
      <c r="K26" s="194"/>
      <c r="L26" s="5"/>
      <c r="M26" s="38">
        <f t="shared" si="3"/>
        <v>1.6000000000000003</v>
      </c>
      <c r="N26" s="39" t="e">
        <f t="shared" si="4"/>
        <v>#REF!</v>
      </c>
      <c r="O26" s="39" t="e">
        <f t="shared" si="5"/>
        <v>#REF!</v>
      </c>
      <c r="P26" s="39" t="e">
        <f t="shared" si="6"/>
        <v>#REF!</v>
      </c>
      <c r="Q26" s="39" t="e">
        <f t="shared" si="7"/>
        <v>#REF!</v>
      </c>
      <c r="R26" s="40" t="e">
        <f t="shared" si="8"/>
        <v>#REF!</v>
      </c>
      <c r="S26" s="40" t="e">
        <f t="shared" si="1"/>
        <v>#REF!</v>
      </c>
      <c r="T26" s="40" t="e">
        <f t="shared" si="10"/>
        <v>#REF!</v>
      </c>
      <c r="U26" s="39" t="e">
        <f t="shared" si="2"/>
        <v>#REF!</v>
      </c>
      <c r="V26" s="139" t="e">
        <f t="shared" si="9"/>
        <v>#REF!</v>
      </c>
    </row>
    <row r="27" spans="1:22" ht="15.5">
      <c r="A27" s="166" t="s">
        <v>96</v>
      </c>
      <c r="B27" s="162"/>
      <c r="C27" s="167"/>
      <c r="D27" s="162"/>
      <c r="E27" s="162"/>
      <c r="F27" s="8"/>
      <c r="G27" s="26"/>
      <c r="H27" s="53" t="s">
        <v>97</v>
      </c>
      <c r="I27" s="75">
        <f>1/((IF(k_zw=0,0,1/k_zw)+(IF(kBesohlung=0,0,1/kBesohlung)+(IF(kSchotter=0,0,1/kSchotter)+(IF(kUSM=0,0,1/kUSM))+(IF(kUntergrund=0,0,1/kUntergrund))))))</f>
        <v>16.968455094160777</v>
      </c>
      <c r="J27" s="41" t="s">
        <v>47</v>
      </c>
      <c r="K27" s="194"/>
      <c r="L27" s="5"/>
      <c r="M27" s="38">
        <f t="shared" si="3"/>
        <v>1.7000000000000004</v>
      </c>
      <c r="N27" s="39" t="e">
        <f t="shared" si="4"/>
        <v>#REF!</v>
      </c>
      <c r="O27" s="39" t="e">
        <f t="shared" si="5"/>
        <v>#REF!</v>
      </c>
      <c r="P27" s="39" t="e">
        <f t="shared" si="6"/>
        <v>#REF!</v>
      </c>
      <c r="Q27" s="39" t="e">
        <f t="shared" si="7"/>
        <v>#REF!</v>
      </c>
      <c r="R27" s="40" t="e">
        <f t="shared" si="8"/>
        <v>#REF!</v>
      </c>
      <c r="S27" s="40" t="e">
        <f t="shared" si="1"/>
        <v>#REF!</v>
      </c>
      <c r="T27" s="40" t="e">
        <f t="shared" si="10"/>
        <v>#REF!</v>
      </c>
      <c r="U27" s="39" t="e">
        <f t="shared" si="2"/>
        <v>#REF!</v>
      </c>
      <c r="V27" s="139" t="e">
        <f t="shared" si="9"/>
        <v>#REF!</v>
      </c>
    </row>
    <row r="28" spans="1:22" ht="15.5">
      <c r="A28" s="168" t="s">
        <v>98</v>
      </c>
      <c r="B28" s="162"/>
      <c r="C28" s="169" t="s">
        <v>99</v>
      </c>
      <c r="D28" s="170">
        <v>32</v>
      </c>
      <c r="E28" s="163" t="s">
        <v>15</v>
      </c>
      <c r="F28" s="8"/>
      <c r="G28" s="35" t="s">
        <v>100</v>
      </c>
      <c r="H28" s="76"/>
      <c r="I28" s="37"/>
      <c r="J28" s="41"/>
      <c r="K28" s="193"/>
      <c r="L28" s="5"/>
      <c r="M28" s="38">
        <f t="shared" si="3"/>
        <v>1.8000000000000005</v>
      </c>
      <c r="N28" s="39" t="e">
        <f t="shared" si="4"/>
        <v>#REF!</v>
      </c>
      <c r="O28" s="39" t="e">
        <f t="shared" si="5"/>
        <v>#REF!</v>
      </c>
      <c r="P28" s="39" t="e">
        <f t="shared" si="6"/>
        <v>#REF!</v>
      </c>
      <c r="Q28" s="39" t="e">
        <f t="shared" si="7"/>
        <v>#REF!</v>
      </c>
      <c r="R28" s="40" t="e">
        <f t="shared" si="8"/>
        <v>#REF!</v>
      </c>
      <c r="S28" s="40" t="e">
        <f t="shared" si="1"/>
        <v>#REF!</v>
      </c>
      <c r="T28" s="40" t="e">
        <f t="shared" si="10"/>
        <v>#REF!</v>
      </c>
      <c r="U28" s="39" t="e">
        <f t="shared" si="2"/>
        <v>#REF!</v>
      </c>
      <c r="V28" s="139" t="e">
        <f t="shared" si="9"/>
        <v>#REF!</v>
      </c>
    </row>
    <row r="29" spans="1:22" ht="15.5">
      <c r="A29" s="163" t="s">
        <v>101</v>
      </c>
      <c r="B29" s="162"/>
      <c r="C29" s="169" t="s">
        <v>102</v>
      </c>
      <c r="D29" s="171" t="e">
        <f>Achsabstand_1_2+Achsabstand_2_3+Achsabstand_3_4</f>
        <v>#REF!</v>
      </c>
      <c r="E29" s="163" t="s">
        <v>15</v>
      </c>
      <c r="F29" s="8"/>
      <c r="G29" s="77"/>
      <c r="H29" s="78" t="s">
        <v>103</v>
      </c>
      <c r="I29" s="79" t="e">
        <f>(4*ESchiene*ISchiene*a/ktot)^0.25</f>
        <v>#REF!</v>
      </c>
      <c r="J29" s="55" t="s">
        <v>29</v>
      </c>
      <c r="K29" s="193"/>
      <c r="L29" s="5"/>
      <c r="M29" s="38">
        <f t="shared" si="3"/>
        <v>1.9000000000000006</v>
      </c>
      <c r="N29" s="39" t="e">
        <f t="shared" si="4"/>
        <v>#REF!</v>
      </c>
      <c r="O29" s="39" t="e">
        <f t="shared" si="5"/>
        <v>#REF!</v>
      </c>
      <c r="P29" s="39" t="e">
        <f t="shared" si="6"/>
        <v>#REF!</v>
      </c>
      <c r="Q29" s="39" t="e">
        <f t="shared" si="7"/>
        <v>#REF!</v>
      </c>
      <c r="R29" s="40" t="e">
        <f t="shared" si="8"/>
        <v>#REF!</v>
      </c>
      <c r="S29" s="40" t="e">
        <f t="shared" si="1"/>
        <v>#REF!</v>
      </c>
      <c r="T29" s="40" t="e">
        <f t="shared" si="10"/>
        <v>#REF!</v>
      </c>
      <c r="U29" s="39" t="e">
        <f t="shared" si="2"/>
        <v>#REF!</v>
      </c>
      <c r="V29" s="139" t="e">
        <f t="shared" si="9"/>
        <v>#REF!</v>
      </c>
    </row>
    <row r="30" spans="1:22" ht="15.5">
      <c r="A30" s="163" t="s">
        <v>104</v>
      </c>
      <c r="B30" s="162"/>
      <c r="C30" s="169" t="s">
        <v>105</v>
      </c>
      <c r="D30" s="171" t="e">
        <f>(LSchiene-LFahrzeug)/2</f>
        <v>#REF!</v>
      </c>
      <c r="E30" s="163" t="s">
        <v>15</v>
      </c>
      <c r="F30" s="8"/>
      <c r="G30" s="49"/>
      <c r="H30" s="49"/>
      <c r="I30" s="49"/>
      <c r="J30" s="49"/>
      <c r="K30" s="161"/>
      <c r="L30" s="5"/>
      <c r="M30" s="38">
        <f t="shared" si="3"/>
        <v>2.0000000000000004</v>
      </c>
      <c r="N30" s="39" t="e">
        <f t="shared" si="4"/>
        <v>#REF!</v>
      </c>
      <c r="O30" s="39" t="e">
        <f t="shared" si="5"/>
        <v>#REF!</v>
      </c>
      <c r="P30" s="39" t="e">
        <f t="shared" si="6"/>
        <v>#REF!</v>
      </c>
      <c r="Q30" s="39" t="e">
        <f t="shared" si="7"/>
        <v>#REF!</v>
      </c>
      <c r="R30" s="40" t="e">
        <f t="shared" si="8"/>
        <v>#REF!</v>
      </c>
      <c r="S30" s="40" t="e">
        <f t="shared" si="1"/>
        <v>#REF!</v>
      </c>
      <c r="T30" s="40" t="e">
        <f t="shared" si="10"/>
        <v>#REF!</v>
      </c>
      <c r="U30" s="39" t="e">
        <f t="shared" si="2"/>
        <v>#REF!</v>
      </c>
      <c r="V30" s="139" t="e">
        <f t="shared" si="9"/>
        <v>#REF!</v>
      </c>
    </row>
    <row r="31" spans="1:22" ht="22.5" customHeight="1">
      <c r="A31" s="163" t="s">
        <v>106</v>
      </c>
      <c r="B31" s="162"/>
      <c r="C31" s="172" t="s">
        <v>107</v>
      </c>
      <c r="D31" s="163" t="e">
        <f>x_1+Achsabstand_1_2</f>
        <v>#REF!</v>
      </c>
      <c r="E31" s="163" t="s">
        <v>15</v>
      </c>
      <c r="F31" s="8"/>
      <c r="G31" s="49"/>
      <c r="H31" s="49"/>
      <c r="I31" s="49"/>
      <c r="J31" s="49"/>
      <c r="K31" s="49"/>
      <c r="L31" s="5"/>
      <c r="M31" s="38">
        <f t="shared" si="3"/>
        <v>2.1000000000000005</v>
      </c>
      <c r="N31" s="39" t="e">
        <f t="shared" si="4"/>
        <v>#REF!</v>
      </c>
      <c r="O31" s="39" t="e">
        <f t="shared" si="5"/>
        <v>#REF!</v>
      </c>
      <c r="P31" s="39" t="e">
        <f t="shared" si="6"/>
        <v>#REF!</v>
      </c>
      <c r="Q31" s="39" t="e">
        <f t="shared" si="7"/>
        <v>#REF!</v>
      </c>
      <c r="R31" s="40" t="e">
        <f t="shared" si="8"/>
        <v>#REF!</v>
      </c>
      <c r="S31" s="40" t="e">
        <f t="shared" si="1"/>
        <v>#REF!</v>
      </c>
      <c r="T31" s="40" t="e">
        <f t="shared" si="10"/>
        <v>#REF!</v>
      </c>
      <c r="U31" s="39" t="e">
        <f t="shared" si="2"/>
        <v>#REF!</v>
      </c>
      <c r="V31" s="139" t="e">
        <f t="shared" si="9"/>
        <v>#REF!</v>
      </c>
    </row>
    <row r="32" spans="1:22" ht="24.75" customHeight="1">
      <c r="A32" s="163" t="s">
        <v>108</v>
      </c>
      <c r="B32" s="162"/>
      <c r="C32" s="172" t="s">
        <v>109</v>
      </c>
      <c r="D32" s="163" t="e">
        <f>x_2+Achsabstand_2_3</f>
        <v>#REF!</v>
      </c>
      <c r="E32" s="163" t="s">
        <v>15</v>
      </c>
      <c r="F32" s="8"/>
      <c r="G32" s="49"/>
      <c r="H32" s="49"/>
      <c r="I32" s="49"/>
      <c r="J32" s="49"/>
      <c r="K32" s="49"/>
      <c r="L32" s="5"/>
      <c r="M32" s="38">
        <f t="shared" si="3"/>
        <v>2.2000000000000006</v>
      </c>
      <c r="N32" s="39" t="e">
        <f t="shared" si="4"/>
        <v>#REF!</v>
      </c>
      <c r="O32" s="39" t="e">
        <f t="shared" si="5"/>
        <v>#REF!</v>
      </c>
      <c r="P32" s="39" t="e">
        <f t="shared" si="6"/>
        <v>#REF!</v>
      </c>
      <c r="Q32" s="39" t="e">
        <f t="shared" si="7"/>
        <v>#REF!</v>
      </c>
      <c r="R32" s="40" t="e">
        <f t="shared" si="8"/>
        <v>#REF!</v>
      </c>
      <c r="S32" s="40" t="e">
        <f t="shared" si="1"/>
        <v>#REF!</v>
      </c>
      <c r="T32" s="40" t="e">
        <f t="shared" si="10"/>
        <v>#REF!</v>
      </c>
      <c r="U32" s="39" t="e">
        <f t="shared" si="2"/>
        <v>#REF!</v>
      </c>
      <c r="V32" s="139" t="e">
        <f t="shared" si="9"/>
        <v>#REF!</v>
      </c>
    </row>
    <row r="33" spans="1:22" ht="15.5">
      <c r="A33" s="163" t="s">
        <v>110</v>
      </c>
      <c r="B33" s="162"/>
      <c r="C33" s="172" t="s">
        <v>111</v>
      </c>
      <c r="D33" s="163" t="e">
        <f>x_3+Achsabstand_3_4</f>
        <v>#REF!</v>
      </c>
      <c r="E33" s="163" t="s">
        <v>15</v>
      </c>
      <c r="F33" s="8"/>
      <c r="G33" s="49"/>
      <c r="H33" s="49"/>
      <c r="I33" s="49"/>
      <c r="J33" s="49"/>
      <c r="K33" s="49"/>
      <c r="L33" s="5"/>
      <c r="M33" s="38">
        <f t="shared" si="3"/>
        <v>2.3000000000000007</v>
      </c>
      <c r="N33" s="39" t="e">
        <f t="shared" si="4"/>
        <v>#REF!</v>
      </c>
      <c r="O33" s="39" t="e">
        <f t="shared" si="5"/>
        <v>#REF!</v>
      </c>
      <c r="P33" s="39" t="e">
        <f t="shared" si="6"/>
        <v>#REF!</v>
      </c>
      <c r="Q33" s="39" t="e">
        <f t="shared" si="7"/>
        <v>#REF!</v>
      </c>
      <c r="R33" s="40" t="e">
        <f t="shared" si="8"/>
        <v>#REF!</v>
      </c>
      <c r="S33" s="40" t="e">
        <f t="shared" si="1"/>
        <v>#REF!</v>
      </c>
      <c r="T33" s="40" t="e">
        <f t="shared" si="10"/>
        <v>#REF!</v>
      </c>
      <c r="U33" s="39" t="e">
        <f t="shared" si="2"/>
        <v>#REF!</v>
      </c>
      <c r="V33" s="139" t="e">
        <f t="shared" si="9"/>
        <v>#REF!</v>
      </c>
    </row>
    <row r="34" spans="1:22" ht="15.5">
      <c r="A34" s="339" t="s">
        <v>112</v>
      </c>
      <c r="B34" s="339"/>
      <c r="C34" s="169" t="s">
        <v>113</v>
      </c>
      <c r="D34" s="170">
        <v>0</v>
      </c>
      <c r="E34" s="163" t="s">
        <v>66</v>
      </c>
      <c r="F34" s="8"/>
      <c r="G34" s="49"/>
      <c r="H34" s="49"/>
      <c r="I34" s="49"/>
      <c r="J34" s="49"/>
      <c r="K34" s="49"/>
      <c r="L34" s="5"/>
      <c r="M34" s="38">
        <f t="shared" si="3"/>
        <v>2.4000000000000008</v>
      </c>
      <c r="N34" s="39" t="e">
        <f t="shared" si="4"/>
        <v>#REF!</v>
      </c>
      <c r="O34" s="39" t="e">
        <f t="shared" si="5"/>
        <v>#REF!</v>
      </c>
      <c r="P34" s="39" t="e">
        <f t="shared" si="6"/>
        <v>#REF!</v>
      </c>
      <c r="Q34" s="39" t="e">
        <f t="shared" si="7"/>
        <v>#REF!</v>
      </c>
      <c r="R34" s="40" t="e">
        <f t="shared" si="8"/>
        <v>#REF!</v>
      </c>
      <c r="S34" s="40" t="e">
        <f t="shared" si="1"/>
        <v>#REF!</v>
      </c>
      <c r="T34" s="40" t="e">
        <f t="shared" si="10"/>
        <v>#REF!</v>
      </c>
      <c r="U34" s="39" t="e">
        <f t="shared" si="2"/>
        <v>#REF!</v>
      </c>
      <c r="V34" s="139" t="e">
        <f t="shared" si="9"/>
        <v>#REF!</v>
      </c>
    </row>
    <row r="35" spans="1:22">
      <c r="A35" s="339" t="s">
        <v>114</v>
      </c>
      <c r="B35" s="339"/>
      <c r="C35" s="169" t="s">
        <v>115</v>
      </c>
      <c r="D35" s="170">
        <v>0.1</v>
      </c>
      <c r="E35" s="163" t="s">
        <v>15</v>
      </c>
      <c r="F35" s="137"/>
      <c r="G35" s="49"/>
      <c r="H35" s="49"/>
      <c r="I35" s="49"/>
      <c r="J35" s="49"/>
      <c r="K35" s="49"/>
      <c r="L35" s="106"/>
      <c r="M35" s="38">
        <f t="shared" si="3"/>
        <v>2.5000000000000009</v>
      </c>
      <c r="N35" s="39" t="e">
        <f t="shared" si="4"/>
        <v>#REF!</v>
      </c>
      <c r="O35" s="39" t="e">
        <f t="shared" si="5"/>
        <v>#REF!</v>
      </c>
      <c r="P35" s="39" t="e">
        <f t="shared" si="6"/>
        <v>#REF!</v>
      </c>
      <c r="Q35" s="39" t="e">
        <f t="shared" si="7"/>
        <v>#REF!</v>
      </c>
      <c r="R35" s="40" t="e">
        <f t="shared" si="8"/>
        <v>#REF!</v>
      </c>
      <c r="S35" s="40" t="e">
        <f t="shared" si="1"/>
        <v>#REF!</v>
      </c>
      <c r="T35" s="40" t="e">
        <f t="shared" si="10"/>
        <v>#REF!</v>
      </c>
      <c r="U35" s="39" t="e">
        <f t="shared" si="2"/>
        <v>#REF!</v>
      </c>
      <c r="V35" s="139" t="e">
        <f t="shared" si="9"/>
        <v>#REF!</v>
      </c>
    </row>
    <row r="36" spans="1:22">
      <c r="A36" s="163"/>
      <c r="B36" s="162"/>
      <c r="C36" s="164"/>
      <c r="D36" s="165"/>
      <c r="E36" s="162"/>
      <c r="F36" s="49"/>
      <c r="G36" s="49"/>
      <c r="H36" s="49"/>
      <c r="I36" s="49"/>
      <c r="J36" s="49"/>
      <c r="K36" s="49"/>
      <c r="L36" s="1"/>
      <c r="M36" s="159">
        <f t="shared" si="3"/>
        <v>2.600000000000001</v>
      </c>
      <c r="N36" s="39" t="e">
        <f t="shared" si="4"/>
        <v>#REF!</v>
      </c>
      <c r="O36" s="39" t="e">
        <f t="shared" si="5"/>
        <v>#REF!</v>
      </c>
      <c r="P36" s="39" t="e">
        <f t="shared" si="6"/>
        <v>#REF!</v>
      </c>
      <c r="Q36" s="39" t="e">
        <f t="shared" si="7"/>
        <v>#REF!</v>
      </c>
      <c r="R36" s="40" t="e">
        <f t="shared" si="8"/>
        <v>#REF!</v>
      </c>
      <c r="S36" s="40" t="e">
        <f t="shared" si="1"/>
        <v>#REF!</v>
      </c>
      <c r="T36" s="40" t="e">
        <f t="shared" si="10"/>
        <v>#REF!</v>
      </c>
      <c r="U36" s="39" t="e">
        <f t="shared" si="2"/>
        <v>#REF!</v>
      </c>
      <c r="V36" s="139" t="e">
        <f t="shared" si="9"/>
        <v>#REF!</v>
      </c>
    </row>
    <row r="37" spans="1:22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1"/>
      <c r="M37" s="159">
        <f t="shared" si="3"/>
        <v>2.7000000000000011</v>
      </c>
      <c r="N37" s="39" t="e">
        <f t="shared" si="4"/>
        <v>#REF!</v>
      </c>
      <c r="O37" s="39" t="e">
        <f t="shared" si="5"/>
        <v>#REF!</v>
      </c>
      <c r="P37" s="39" t="e">
        <f t="shared" si="6"/>
        <v>#REF!</v>
      </c>
      <c r="Q37" s="39" t="e">
        <f t="shared" si="7"/>
        <v>#REF!</v>
      </c>
      <c r="R37" s="40" t="e">
        <f t="shared" si="8"/>
        <v>#REF!</v>
      </c>
      <c r="S37" s="40" t="e">
        <f t="shared" si="1"/>
        <v>#REF!</v>
      </c>
      <c r="T37" s="40" t="e">
        <f t="shared" si="10"/>
        <v>#REF!</v>
      </c>
      <c r="U37" s="39" t="e">
        <f t="shared" si="2"/>
        <v>#REF!</v>
      </c>
      <c r="V37" s="139" t="e">
        <f t="shared" si="9"/>
        <v>#REF!</v>
      </c>
    </row>
    <row r="38" spans="1:22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1"/>
      <c r="M38" s="159">
        <f t="shared" si="3"/>
        <v>2.8000000000000012</v>
      </c>
      <c r="N38" s="39" t="e">
        <f t="shared" si="4"/>
        <v>#REF!</v>
      </c>
      <c r="O38" s="39" t="e">
        <f t="shared" si="5"/>
        <v>#REF!</v>
      </c>
      <c r="P38" s="39" t="e">
        <f t="shared" si="6"/>
        <v>#REF!</v>
      </c>
      <c r="Q38" s="39" t="e">
        <f t="shared" si="7"/>
        <v>#REF!</v>
      </c>
      <c r="R38" s="40" t="e">
        <f t="shared" si="8"/>
        <v>#REF!</v>
      </c>
      <c r="S38" s="40" t="e">
        <f t="shared" si="1"/>
        <v>#REF!</v>
      </c>
      <c r="T38" s="40" t="e">
        <f t="shared" si="10"/>
        <v>#REF!</v>
      </c>
      <c r="U38" s="39" t="e">
        <f t="shared" si="2"/>
        <v>#REF!</v>
      </c>
      <c r="V38" s="139" t="e">
        <f t="shared" si="9"/>
        <v>#REF!</v>
      </c>
    </row>
    <row r="39" spans="1:22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1"/>
      <c r="M39" s="159">
        <f t="shared" si="3"/>
        <v>2.9000000000000012</v>
      </c>
      <c r="N39" s="39" t="e">
        <f t="shared" si="4"/>
        <v>#REF!</v>
      </c>
      <c r="O39" s="39" t="e">
        <f t="shared" si="5"/>
        <v>#REF!</v>
      </c>
      <c r="P39" s="39" t="e">
        <f t="shared" si="6"/>
        <v>#REF!</v>
      </c>
      <c r="Q39" s="39" t="e">
        <f t="shared" si="7"/>
        <v>#REF!</v>
      </c>
      <c r="R39" s="40" t="e">
        <f t="shared" si="8"/>
        <v>#REF!</v>
      </c>
      <c r="S39" s="40" t="e">
        <f t="shared" si="1"/>
        <v>#REF!</v>
      </c>
      <c r="T39" s="40" t="e">
        <f t="shared" si="10"/>
        <v>#REF!</v>
      </c>
      <c r="U39" s="39" t="e">
        <f t="shared" si="2"/>
        <v>#REF!</v>
      </c>
      <c r="V39" s="139" t="e">
        <f t="shared" si="9"/>
        <v>#REF!</v>
      </c>
    </row>
    <row r="40" spans="1:22">
      <c r="A40" s="51"/>
      <c r="B40" s="2"/>
      <c r="C40" s="2"/>
      <c r="D40" s="2"/>
      <c r="E40" s="2"/>
      <c r="F40" s="2"/>
      <c r="G40" s="2"/>
      <c r="H40" s="2"/>
      <c r="I40" s="2"/>
      <c r="J40" s="2"/>
      <c r="K40" s="2"/>
      <c r="L40" s="109"/>
      <c r="M40" s="38">
        <f t="shared" si="3"/>
        <v>3.0000000000000013</v>
      </c>
      <c r="N40" s="39" t="e">
        <f t="shared" si="4"/>
        <v>#REF!</v>
      </c>
      <c r="O40" s="39" t="e">
        <f t="shared" si="5"/>
        <v>#REF!</v>
      </c>
      <c r="P40" s="39" t="e">
        <f t="shared" si="6"/>
        <v>#REF!</v>
      </c>
      <c r="Q40" s="39" t="e">
        <f t="shared" si="7"/>
        <v>#REF!</v>
      </c>
      <c r="R40" s="40" t="e">
        <f t="shared" si="8"/>
        <v>#REF!</v>
      </c>
      <c r="S40" s="40" t="e">
        <f t="shared" si="1"/>
        <v>#REF!</v>
      </c>
      <c r="T40" s="40" t="e">
        <f t="shared" si="10"/>
        <v>#REF!</v>
      </c>
      <c r="U40" s="39" t="e">
        <f t="shared" si="2"/>
        <v>#REF!</v>
      </c>
      <c r="V40" s="139" t="e">
        <f t="shared" si="9"/>
        <v>#REF!</v>
      </c>
    </row>
    <row r="41" spans="1:22">
      <c r="A41" s="52"/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30"/>
      <c r="M41" s="38">
        <f t="shared" si="3"/>
        <v>3.1000000000000014</v>
      </c>
      <c r="N41" s="39" t="e">
        <f t="shared" si="4"/>
        <v>#REF!</v>
      </c>
      <c r="O41" s="39" t="e">
        <f t="shared" si="5"/>
        <v>#REF!</v>
      </c>
      <c r="P41" s="39" t="e">
        <f t="shared" si="6"/>
        <v>#REF!</v>
      </c>
      <c r="Q41" s="39" t="e">
        <f t="shared" si="7"/>
        <v>#REF!</v>
      </c>
      <c r="R41" s="40" t="e">
        <f t="shared" si="8"/>
        <v>#REF!</v>
      </c>
      <c r="S41" s="40" t="e">
        <f t="shared" si="1"/>
        <v>#REF!</v>
      </c>
      <c r="T41" s="40" t="e">
        <f t="shared" si="10"/>
        <v>#REF!</v>
      </c>
      <c r="U41" s="39" t="e">
        <f t="shared" si="2"/>
        <v>#REF!</v>
      </c>
      <c r="V41" s="139" t="e">
        <f t="shared" si="9"/>
        <v>#REF!</v>
      </c>
    </row>
    <row r="42" spans="1:22">
      <c r="A42" s="52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30"/>
      <c r="M42" s="38">
        <f t="shared" si="3"/>
        <v>3.2000000000000015</v>
      </c>
      <c r="N42" s="39" t="e">
        <f t="shared" si="4"/>
        <v>#REF!</v>
      </c>
      <c r="O42" s="39" t="e">
        <f t="shared" si="5"/>
        <v>#REF!</v>
      </c>
      <c r="P42" s="39" t="e">
        <f t="shared" si="6"/>
        <v>#REF!</v>
      </c>
      <c r="Q42" s="39" t="e">
        <f t="shared" si="7"/>
        <v>#REF!</v>
      </c>
      <c r="R42" s="40" t="e">
        <f t="shared" si="8"/>
        <v>#REF!</v>
      </c>
      <c r="S42" s="40" t="e">
        <f t="shared" si="1"/>
        <v>#REF!</v>
      </c>
      <c r="T42" s="40" t="e">
        <f t="shared" si="10"/>
        <v>#REF!</v>
      </c>
      <c r="U42" s="39" t="e">
        <f t="shared" si="2"/>
        <v>#REF!</v>
      </c>
      <c r="V42" s="139" t="e">
        <f t="shared" si="9"/>
        <v>#REF!</v>
      </c>
    </row>
    <row r="43" spans="1:22">
      <c r="A43" s="52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30"/>
      <c r="M43" s="38">
        <f t="shared" si="3"/>
        <v>3.3000000000000016</v>
      </c>
      <c r="N43" s="39" t="e">
        <f t="shared" si="4"/>
        <v>#REF!</v>
      </c>
      <c r="O43" s="39" t="e">
        <f t="shared" si="5"/>
        <v>#REF!</v>
      </c>
      <c r="P43" s="39" t="e">
        <f t="shared" si="6"/>
        <v>#REF!</v>
      </c>
      <c r="Q43" s="39" t="e">
        <f t="shared" si="7"/>
        <v>#REF!</v>
      </c>
      <c r="R43" s="40" t="e">
        <f t="shared" si="8"/>
        <v>#REF!</v>
      </c>
      <c r="S43" s="40" t="e">
        <f t="shared" si="1"/>
        <v>#REF!</v>
      </c>
      <c r="T43" s="40" t="e">
        <f t="shared" si="10"/>
        <v>#REF!</v>
      </c>
      <c r="U43" s="39" t="e">
        <f t="shared" si="2"/>
        <v>#REF!</v>
      </c>
      <c r="V43" s="139" t="e">
        <f t="shared" si="9"/>
        <v>#REF!</v>
      </c>
    </row>
    <row r="44" spans="1:22">
      <c r="A44" s="52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30"/>
      <c r="M44" s="38">
        <f t="shared" si="3"/>
        <v>3.4000000000000017</v>
      </c>
      <c r="N44" s="39" t="e">
        <f t="shared" si="4"/>
        <v>#REF!</v>
      </c>
      <c r="O44" s="39" t="e">
        <f t="shared" si="5"/>
        <v>#REF!</v>
      </c>
      <c r="P44" s="39" t="e">
        <f t="shared" si="6"/>
        <v>#REF!</v>
      </c>
      <c r="Q44" s="39" t="e">
        <f t="shared" si="7"/>
        <v>#REF!</v>
      </c>
      <c r="R44" s="40" t="e">
        <f t="shared" si="8"/>
        <v>#REF!</v>
      </c>
      <c r="S44" s="40" t="e">
        <f t="shared" si="1"/>
        <v>#REF!</v>
      </c>
      <c r="T44" s="40" t="e">
        <f t="shared" si="10"/>
        <v>#REF!</v>
      </c>
      <c r="U44" s="39" t="e">
        <f t="shared" si="2"/>
        <v>#REF!</v>
      </c>
      <c r="V44" s="139" t="e">
        <f t="shared" si="9"/>
        <v>#REF!</v>
      </c>
    </row>
    <row r="45" spans="1:22">
      <c r="A45" s="52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30"/>
      <c r="M45" s="38">
        <f t="shared" si="3"/>
        <v>3.5000000000000018</v>
      </c>
      <c r="N45" s="39" t="e">
        <f t="shared" si="4"/>
        <v>#REF!</v>
      </c>
      <c r="O45" s="39" t="e">
        <f t="shared" si="5"/>
        <v>#REF!</v>
      </c>
      <c r="P45" s="39" t="e">
        <f t="shared" si="6"/>
        <v>#REF!</v>
      </c>
      <c r="Q45" s="39" t="e">
        <f t="shared" si="7"/>
        <v>#REF!</v>
      </c>
      <c r="R45" s="40" t="e">
        <f t="shared" si="8"/>
        <v>#REF!</v>
      </c>
      <c r="S45" s="40" t="e">
        <f t="shared" si="1"/>
        <v>#REF!</v>
      </c>
      <c r="T45" s="40" t="e">
        <f t="shared" si="10"/>
        <v>#REF!</v>
      </c>
      <c r="U45" s="39" t="e">
        <f t="shared" si="2"/>
        <v>#REF!</v>
      </c>
      <c r="V45" s="139" t="e">
        <f t="shared" si="9"/>
        <v>#REF!</v>
      </c>
    </row>
    <row r="46" spans="1:22">
      <c r="A46" s="52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30"/>
      <c r="M46" s="38">
        <f t="shared" si="3"/>
        <v>3.6000000000000019</v>
      </c>
      <c r="N46" s="39" t="e">
        <f t="shared" si="4"/>
        <v>#REF!</v>
      </c>
      <c r="O46" s="39" t="e">
        <f t="shared" si="5"/>
        <v>#REF!</v>
      </c>
      <c r="P46" s="39" t="e">
        <f t="shared" si="6"/>
        <v>#REF!</v>
      </c>
      <c r="Q46" s="39" t="e">
        <f t="shared" si="7"/>
        <v>#REF!</v>
      </c>
      <c r="R46" s="40" t="e">
        <f t="shared" si="8"/>
        <v>#REF!</v>
      </c>
      <c r="S46" s="40" t="e">
        <f t="shared" si="1"/>
        <v>#REF!</v>
      </c>
      <c r="T46" s="40" t="e">
        <f t="shared" si="10"/>
        <v>#REF!</v>
      </c>
      <c r="U46" s="39" t="e">
        <f t="shared" si="2"/>
        <v>#REF!</v>
      </c>
      <c r="V46" s="139" t="e">
        <f t="shared" si="9"/>
        <v>#REF!</v>
      </c>
    </row>
    <row r="47" spans="1:22">
      <c r="A47" s="52" t="s">
        <v>116</v>
      </c>
      <c r="B47" s="84" t="s">
        <v>17</v>
      </c>
      <c r="C47" s="84" t="s">
        <v>117</v>
      </c>
      <c r="D47" s="84" t="s">
        <v>118</v>
      </c>
      <c r="E47" s="84"/>
      <c r="F47" s="84"/>
      <c r="G47" s="84"/>
      <c r="H47" s="84"/>
      <c r="I47" s="84"/>
      <c r="J47" s="84"/>
      <c r="K47" s="84"/>
      <c r="L47" s="5"/>
      <c r="M47" s="38">
        <f t="shared" si="3"/>
        <v>3.700000000000002</v>
      </c>
      <c r="N47" s="39" t="e">
        <f t="shared" si="4"/>
        <v>#REF!</v>
      </c>
      <c r="O47" s="39" t="e">
        <f t="shared" si="5"/>
        <v>#REF!</v>
      </c>
      <c r="P47" s="39" t="e">
        <f t="shared" si="6"/>
        <v>#REF!</v>
      </c>
      <c r="Q47" s="39" t="e">
        <f t="shared" si="7"/>
        <v>#REF!</v>
      </c>
      <c r="R47" s="40" t="e">
        <f t="shared" si="8"/>
        <v>#REF!</v>
      </c>
      <c r="S47" s="40" t="e">
        <f t="shared" si="1"/>
        <v>#REF!</v>
      </c>
      <c r="T47" s="40" t="e">
        <f t="shared" si="10"/>
        <v>#REF!</v>
      </c>
      <c r="U47" s="39" t="e">
        <f t="shared" si="2"/>
        <v>#REF!</v>
      </c>
      <c r="V47" s="139" t="e">
        <f t="shared" si="9"/>
        <v>#REF!</v>
      </c>
    </row>
    <row r="48" spans="1:22">
      <c r="A48" s="90" t="s">
        <v>25</v>
      </c>
      <c r="B48" s="84" t="e">
        <f>x_1</f>
        <v>#REF!</v>
      </c>
      <c r="C48" s="84">
        <v>0</v>
      </c>
      <c r="D48" s="84">
        <v>-5.0000000000000001E-3</v>
      </c>
      <c r="E48" s="84" t="e">
        <f>D48*Achslast_1/2</f>
        <v>#REF!</v>
      </c>
      <c r="F48" s="84"/>
      <c r="G48" s="84"/>
      <c r="H48" s="84"/>
      <c r="I48" s="84"/>
      <c r="J48" s="84"/>
      <c r="K48" s="84"/>
      <c r="L48" s="5"/>
      <c r="M48" s="38">
        <f t="shared" si="3"/>
        <v>3.800000000000002</v>
      </c>
      <c r="N48" s="39" t="e">
        <f t="shared" si="4"/>
        <v>#REF!</v>
      </c>
      <c r="O48" s="39" t="e">
        <f t="shared" si="5"/>
        <v>#REF!</v>
      </c>
      <c r="P48" s="39" t="e">
        <f t="shared" si="6"/>
        <v>#REF!</v>
      </c>
      <c r="Q48" s="39" t="e">
        <f t="shared" si="7"/>
        <v>#REF!</v>
      </c>
      <c r="R48" s="40" t="e">
        <f t="shared" si="8"/>
        <v>#REF!</v>
      </c>
      <c r="S48" s="40" t="e">
        <f t="shared" si="1"/>
        <v>#REF!</v>
      </c>
      <c r="T48" s="40" t="e">
        <f t="shared" si="10"/>
        <v>#REF!</v>
      </c>
      <c r="U48" s="39" t="e">
        <f t="shared" si="2"/>
        <v>#REF!</v>
      </c>
      <c r="V48" s="139" t="e">
        <f t="shared" si="9"/>
        <v>#REF!</v>
      </c>
    </row>
    <row r="49" spans="1:22">
      <c r="A49" s="90" t="s">
        <v>32</v>
      </c>
      <c r="B49" s="84" t="e">
        <f>x_2</f>
        <v>#REF!</v>
      </c>
      <c r="C49" s="84">
        <v>0</v>
      </c>
      <c r="D49" s="84">
        <v>-5.0000000000000001E-3</v>
      </c>
      <c r="E49" s="84" t="e">
        <f>D49*Achslast_2/2</f>
        <v>#REF!</v>
      </c>
      <c r="F49" s="84"/>
      <c r="G49" s="84"/>
      <c r="H49" s="84"/>
      <c r="I49" s="84"/>
      <c r="J49" s="84"/>
      <c r="K49" s="84"/>
      <c r="L49" s="5"/>
      <c r="M49" s="38">
        <f t="shared" si="3"/>
        <v>3.9000000000000021</v>
      </c>
      <c r="N49" s="39" t="e">
        <f t="shared" si="4"/>
        <v>#REF!</v>
      </c>
      <c r="O49" s="39" t="e">
        <f t="shared" si="5"/>
        <v>#REF!</v>
      </c>
      <c r="P49" s="39" t="e">
        <f t="shared" si="6"/>
        <v>#REF!</v>
      </c>
      <c r="Q49" s="39" t="e">
        <f t="shared" si="7"/>
        <v>#REF!</v>
      </c>
      <c r="R49" s="40" t="e">
        <f t="shared" si="8"/>
        <v>#REF!</v>
      </c>
      <c r="S49" s="40" t="e">
        <f t="shared" si="1"/>
        <v>#REF!</v>
      </c>
      <c r="T49" s="40" t="e">
        <f t="shared" si="10"/>
        <v>#REF!</v>
      </c>
      <c r="U49" s="39" t="e">
        <f t="shared" si="2"/>
        <v>#REF!</v>
      </c>
      <c r="V49" s="139" t="e">
        <f t="shared" si="9"/>
        <v>#REF!</v>
      </c>
    </row>
    <row r="50" spans="1:22">
      <c r="A50" s="90" t="s">
        <v>35</v>
      </c>
      <c r="B50" s="84" t="e">
        <f>x_3</f>
        <v>#REF!</v>
      </c>
      <c r="C50" s="84">
        <v>0</v>
      </c>
      <c r="D50" s="84">
        <v>-5.0000000000000001E-3</v>
      </c>
      <c r="E50" s="84" t="e">
        <f>D50*Achslast_3/2</f>
        <v>#REF!</v>
      </c>
      <c r="F50" s="84"/>
      <c r="G50" s="84"/>
      <c r="H50" s="84"/>
      <c r="I50" s="84"/>
      <c r="J50" s="84"/>
      <c r="K50" s="84"/>
      <c r="L50" s="5"/>
      <c r="M50" s="38">
        <f t="shared" si="3"/>
        <v>4.0000000000000018</v>
      </c>
      <c r="N50" s="39" t="e">
        <f t="shared" si="4"/>
        <v>#REF!</v>
      </c>
      <c r="O50" s="39" t="e">
        <f t="shared" si="5"/>
        <v>#REF!</v>
      </c>
      <c r="P50" s="39" t="e">
        <f t="shared" si="6"/>
        <v>#REF!</v>
      </c>
      <c r="Q50" s="39" t="e">
        <f t="shared" si="7"/>
        <v>#REF!</v>
      </c>
      <c r="R50" s="40" t="e">
        <f t="shared" si="8"/>
        <v>#REF!</v>
      </c>
      <c r="S50" s="40" t="e">
        <f t="shared" si="1"/>
        <v>#REF!</v>
      </c>
      <c r="T50" s="40" t="e">
        <f t="shared" si="10"/>
        <v>#REF!</v>
      </c>
      <c r="U50" s="39" t="e">
        <f t="shared" si="2"/>
        <v>#REF!</v>
      </c>
      <c r="V50" s="139" t="e">
        <f t="shared" si="9"/>
        <v>#REF!</v>
      </c>
    </row>
    <row r="51" spans="1:22">
      <c r="A51" s="90" t="s">
        <v>40</v>
      </c>
      <c r="B51" s="84" t="e">
        <f>x4_</f>
        <v>#REF!</v>
      </c>
      <c r="C51" s="84">
        <v>0</v>
      </c>
      <c r="D51" s="84">
        <v>-5.0000000000000001E-3</v>
      </c>
      <c r="E51" s="84" t="e">
        <f>D51*Achslast_4/2</f>
        <v>#REF!</v>
      </c>
      <c r="F51" s="84"/>
      <c r="G51" s="84"/>
      <c r="H51" s="84"/>
      <c r="I51" s="84"/>
      <c r="J51" s="84"/>
      <c r="K51" s="84"/>
      <c r="L51" s="5"/>
      <c r="M51" s="38">
        <f t="shared" si="3"/>
        <v>4.1000000000000014</v>
      </c>
      <c r="N51" s="39" t="e">
        <f t="shared" si="4"/>
        <v>#REF!</v>
      </c>
      <c r="O51" s="39" t="e">
        <f t="shared" si="5"/>
        <v>#REF!</v>
      </c>
      <c r="P51" s="39" t="e">
        <f t="shared" si="6"/>
        <v>#REF!</v>
      </c>
      <c r="Q51" s="39" t="e">
        <f t="shared" si="7"/>
        <v>#REF!</v>
      </c>
      <c r="R51" s="40" t="e">
        <f t="shared" si="8"/>
        <v>#REF!</v>
      </c>
      <c r="S51" s="40" t="e">
        <f t="shared" si="1"/>
        <v>#REF!</v>
      </c>
      <c r="T51" s="40" t="e">
        <f t="shared" si="10"/>
        <v>#REF!</v>
      </c>
      <c r="U51" s="39" t="e">
        <f t="shared" si="2"/>
        <v>#REF!</v>
      </c>
      <c r="V51" s="139" t="e">
        <f t="shared" si="9"/>
        <v>#REF!</v>
      </c>
    </row>
    <row r="52" spans="1:22">
      <c r="A52" s="52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5"/>
      <c r="M52" s="38">
        <f t="shared" si="3"/>
        <v>4.2000000000000011</v>
      </c>
      <c r="N52" s="39" t="e">
        <f t="shared" si="4"/>
        <v>#REF!</v>
      </c>
      <c r="O52" s="39" t="e">
        <f t="shared" si="5"/>
        <v>#REF!</v>
      </c>
      <c r="P52" s="39" t="e">
        <f t="shared" si="6"/>
        <v>#REF!</v>
      </c>
      <c r="Q52" s="39" t="e">
        <f t="shared" si="7"/>
        <v>#REF!</v>
      </c>
      <c r="R52" s="40" t="e">
        <f t="shared" si="8"/>
        <v>#REF!</v>
      </c>
      <c r="S52" s="40" t="e">
        <f t="shared" si="1"/>
        <v>#REF!</v>
      </c>
      <c r="T52" s="40" t="e">
        <f t="shared" si="10"/>
        <v>#REF!</v>
      </c>
      <c r="U52" s="39" t="e">
        <f t="shared" si="2"/>
        <v>#REF!</v>
      </c>
      <c r="V52" s="139" t="e">
        <f t="shared" si="9"/>
        <v>#REF!</v>
      </c>
    </row>
    <row r="53" spans="1:22">
      <c r="A53" s="52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5"/>
      <c r="M53" s="38">
        <f t="shared" si="3"/>
        <v>4.3000000000000007</v>
      </c>
      <c r="N53" s="39" t="e">
        <f t="shared" si="4"/>
        <v>#REF!</v>
      </c>
      <c r="O53" s="39" t="e">
        <f t="shared" si="5"/>
        <v>#REF!</v>
      </c>
      <c r="P53" s="39" t="e">
        <f t="shared" si="6"/>
        <v>#REF!</v>
      </c>
      <c r="Q53" s="39" t="e">
        <f t="shared" si="7"/>
        <v>#REF!</v>
      </c>
      <c r="R53" s="40" t="e">
        <f t="shared" si="8"/>
        <v>#REF!</v>
      </c>
      <c r="S53" s="40" t="e">
        <f t="shared" si="1"/>
        <v>#REF!</v>
      </c>
      <c r="T53" s="40" t="e">
        <f t="shared" si="10"/>
        <v>#REF!</v>
      </c>
      <c r="U53" s="39" t="e">
        <f t="shared" si="2"/>
        <v>#REF!</v>
      </c>
      <c r="V53" s="139" t="e">
        <f t="shared" si="9"/>
        <v>#REF!</v>
      </c>
    </row>
    <row r="54" spans="1:22">
      <c r="A54" s="52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5"/>
      <c r="M54" s="38">
        <f t="shared" si="3"/>
        <v>4.4000000000000004</v>
      </c>
      <c r="N54" s="39" t="e">
        <f t="shared" si="4"/>
        <v>#REF!</v>
      </c>
      <c r="O54" s="39" t="e">
        <f t="shared" si="5"/>
        <v>#REF!</v>
      </c>
      <c r="P54" s="39" t="e">
        <f t="shared" si="6"/>
        <v>#REF!</v>
      </c>
      <c r="Q54" s="39" t="e">
        <f t="shared" si="7"/>
        <v>#REF!</v>
      </c>
      <c r="R54" s="40" t="e">
        <f t="shared" si="8"/>
        <v>#REF!</v>
      </c>
      <c r="S54" s="40" t="e">
        <f t="shared" si="1"/>
        <v>#REF!</v>
      </c>
      <c r="T54" s="40" t="e">
        <f t="shared" si="10"/>
        <v>#REF!</v>
      </c>
      <c r="U54" s="39" t="e">
        <f t="shared" si="2"/>
        <v>#REF!</v>
      </c>
      <c r="V54" s="139" t="e">
        <f t="shared" si="9"/>
        <v>#REF!</v>
      </c>
    </row>
    <row r="55" spans="1:22">
      <c r="A55" s="174" t="s">
        <v>119</v>
      </c>
      <c r="B55" s="175" t="e">
        <f>MAX(N8:N330)</f>
        <v>#REF!</v>
      </c>
      <c r="C55" s="176" t="s">
        <v>93</v>
      </c>
      <c r="D55" s="84"/>
      <c r="E55" s="92"/>
      <c r="F55" s="93"/>
      <c r="G55" s="94" t="e">
        <f>INDEX($M$8:$M$330,MATCH(maximale_Einsenkung,$N$8:$N$330,0))</f>
        <v>#REF!</v>
      </c>
      <c r="H55" s="95" t="s">
        <v>66</v>
      </c>
      <c r="I55" s="94"/>
      <c r="J55" s="84"/>
      <c r="K55" s="84"/>
      <c r="L55" s="5"/>
      <c r="M55" s="38">
        <f t="shared" si="3"/>
        <v>4.5</v>
      </c>
      <c r="N55" s="39" t="e">
        <f t="shared" si="4"/>
        <v>#REF!</v>
      </c>
      <c r="O55" s="39" t="e">
        <f t="shared" si="5"/>
        <v>#REF!</v>
      </c>
      <c r="P55" s="39" t="e">
        <f t="shared" si="6"/>
        <v>#REF!</v>
      </c>
      <c r="Q55" s="39" t="e">
        <f t="shared" si="7"/>
        <v>#REF!</v>
      </c>
      <c r="R55" s="40" t="e">
        <f t="shared" si="8"/>
        <v>#REF!</v>
      </c>
      <c r="S55" s="40" t="e">
        <f t="shared" si="1"/>
        <v>#REF!</v>
      </c>
      <c r="T55" s="40" t="e">
        <f t="shared" si="10"/>
        <v>#REF!</v>
      </c>
      <c r="U55" s="39" t="e">
        <f t="shared" si="2"/>
        <v>#REF!</v>
      </c>
      <c r="V55" s="139" t="e">
        <f t="shared" si="9"/>
        <v>#REF!</v>
      </c>
    </row>
    <row r="56" spans="1:22">
      <c r="A56" s="96" t="s">
        <v>120</v>
      </c>
      <c r="B56" s="97"/>
      <c r="C56" s="97"/>
      <c r="D56" s="97"/>
      <c r="E56" s="97"/>
      <c r="F56" s="97"/>
      <c r="G56" s="97"/>
      <c r="H56" s="97"/>
      <c r="I56" s="97"/>
      <c r="J56" s="97"/>
      <c r="K56" s="95"/>
      <c r="L56" s="5"/>
      <c r="M56" s="38">
        <f t="shared" si="3"/>
        <v>4.5999999999999996</v>
      </c>
      <c r="N56" s="39" t="e">
        <f t="shared" si="4"/>
        <v>#REF!</v>
      </c>
      <c r="O56" s="39" t="e">
        <f t="shared" si="5"/>
        <v>#REF!</v>
      </c>
      <c r="P56" s="39" t="e">
        <f t="shared" si="6"/>
        <v>#REF!</v>
      </c>
      <c r="Q56" s="39" t="e">
        <f t="shared" si="7"/>
        <v>#REF!</v>
      </c>
      <c r="R56" s="40" t="e">
        <f t="shared" si="8"/>
        <v>#REF!</v>
      </c>
      <c r="S56" s="40" t="e">
        <f t="shared" si="1"/>
        <v>#REF!</v>
      </c>
      <c r="T56" s="40" t="e">
        <f t="shared" si="10"/>
        <v>#REF!</v>
      </c>
      <c r="U56" s="39" t="e">
        <f t="shared" si="2"/>
        <v>#REF!</v>
      </c>
      <c r="V56" s="139" t="e">
        <f t="shared" si="9"/>
        <v>#REF!</v>
      </c>
    </row>
    <row r="57" spans="1:22">
      <c r="A57" s="100" t="s">
        <v>121</v>
      </c>
      <c r="B57" s="101" t="e">
        <f>IF(Achslast_1=0,0,((1/(ESchiene*ISchiene))*((Achslast_4*10^3/2)/(8*(1/Lelastisch)^3)*EXP(-(1/Lelastisch)*ABS(G57-x4_)*10^3)*(COS(ABS(G57-x4_)*10^3/Lelastisch)+SIN(ABS(G57-x4_)*10^3/Lelastisch))+(Achslast_3*10^3/2)/(8*(1/Lelastisch)^3)*EXP(-(1/Lelastisch)*ABS(G57-x_3)*10^3)*(COS(ABS(G57-x_3)*10^3/Lelastisch)+SIN(ABS(G57-x_3)*10^3/Lelastisch))+(Achslast_2*10^3/2)/(8*(1/Lelastisch)^3)*EXP(-(1/Lelastisch)*ABS(G57-x_2)*10^3)*(COS(ABS(G57-x_2)*10^3/Lelastisch)+SIN(ABS(G57-x_2)*10^3/Lelastisch))+(Achslast_1*10^3/2)/(8*(1/Lelastisch)^3)*EXP(-(1/Lelastisch)*ABS(G57-x_1)*10^3)*(COS(ABS(G57-x_1)*10^3/Lelastisch)+SIN(ABS(G57-x_1)*10^3/Lelastisch)))))</f>
        <v>#REF!</v>
      </c>
      <c r="C57" s="95" t="s">
        <v>93</v>
      </c>
      <c r="D57" s="95"/>
      <c r="E57" s="95"/>
      <c r="F57" s="102" t="s">
        <v>122</v>
      </c>
      <c r="G57" s="95" t="e">
        <f>IF(B7=0,"-",x_1)</f>
        <v>#REF!</v>
      </c>
      <c r="H57" s="95" t="s">
        <v>66</v>
      </c>
      <c r="I57" s="95"/>
      <c r="J57" s="95"/>
      <c r="K57" s="95"/>
      <c r="L57" s="5"/>
      <c r="M57" s="38">
        <f t="shared" si="3"/>
        <v>4.6999999999999993</v>
      </c>
      <c r="N57" s="39" t="e">
        <f t="shared" si="4"/>
        <v>#REF!</v>
      </c>
      <c r="O57" s="39" t="e">
        <f t="shared" si="5"/>
        <v>#REF!</v>
      </c>
      <c r="P57" s="39" t="e">
        <f t="shared" si="6"/>
        <v>#REF!</v>
      </c>
      <c r="Q57" s="39" t="e">
        <f t="shared" si="7"/>
        <v>#REF!</v>
      </c>
      <c r="R57" s="40" t="e">
        <f t="shared" si="8"/>
        <v>#REF!</v>
      </c>
      <c r="S57" s="40" t="e">
        <f t="shared" si="1"/>
        <v>#REF!</v>
      </c>
      <c r="T57" s="40" t="e">
        <f t="shared" si="10"/>
        <v>#REF!</v>
      </c>
      <c r="U57" s="39" t="e">
        <f t="shared" si="2"/>
        <v>#REF!</v>
      </c>
      <c r="V57" s="139" t="e">
        <f t="shared" si="9"/>
        <v>#REF!</v>
      </c>
    </row>
    <row r="58" spans="1:22">
      <c r="A58" s="100" t="s">
        <v>123</v>
      </c>
      <c r="B58" s="101" t="e">
        <f>IF(Achslast_2=0,0,((1/(ESchiene*ISchiene))*((Achslast_4*10^3/2)/(8*(1/Lelastisch)^3)*EXP(-(1/Lelastisch)*ABS(G58-x4_)*10^3)*(COS(ABS(G58-x4_)*10^3/Lelastisch)+SIN(ABS(G58-x4_)*10^3/Lelastisch))+(Achslast_3*10^3/2)/(8*(1/Lelastisch)^3)*EXP(-(1/Lelastisch)*ABS(G58-x_3)*10^3)*(COS(ABS(G58-x_3)*10^3/Lelastisch)+SIN(ABS(G58-x_3)*10^3/Lelastisch))+(Achslast_2*10^3/2)/(8*(1/Lelastisch)^3)*EXP(-(1/Lelastisch)*ABS(G58-x_2)*10^3)*(COS(ABS(G58-x_2)*10^3/Lelastisch)+SIN(ABS(G58-x_2)*10^3/Lelastisch))+(Achslast_1*10^3/2)/(8*(1/Lelastisch)^3)*EXP(-(1/Lelastisch)*ABS(G58-x_1)*10^3)*(COS(ABS(G58-x_1)*10^3/Lelastisch)+SIN(ABS(G58-x_1)*10^3/Lelastisch)))))</f>
        <v>#REF!</v>
      </c>
      <c r="C58" s="95" t="s">
        <v>93</v>
      </c>
      <c r="D58" s="95"/>
      <c r="E58" s="95"/>
      <c r="F58" s="102" t="s">
        <v>124</v>
      </c>
      <c r="G58" s="95" t="e">
        <f>IF(B8=0,"-",x_2)</f>
        <v>#REF!</v>
      </c>
      <c r="H58" s="95" t="s">
        <v>66</v>
      </c>
      <c r="I58" s="95"/>
      <c r="J58" s="95"/>
      <c r="K58" s="95"/>
      <c r="L58" s="5"/>
      <c r="M58" s="38">
        <f t="shared" si="3"/>
        <v>4.7999999999999989</v>
      </c>
      <c r="N58" s="39" t="e">
        <f t="shared" si="4"/>
        <v>#REF!</v>
      </c>
      <c r="O58" s="39" t="e">
        <f t="shared" si="5"/>
        <v>#REF!</v>
      </c>
      <c r="P58" s="39" t="e">
        <f t="shared" si="6"/>
        <v>#REF!</v>
      </c>
      <c r="Q58" s="39" t="e">
        <f t="shared" si="7"/>
        <v>#REF!</v>
      </c>
      <c r="R58" s="40" t="e">
        <f t="shared" si="8"/>
        <v>#REF!</v>
      </c>
      <c r="S58" s="40" t="e">
        <f t="shared" si="1"/>
        <v>#REF!</v>
      </c>
      <c r="T58" s="40" t="e">
        <f t="shared" si="10"/>
        <v>#REF!</v>
      </c>
      <c r="U58" s="39" t="e">
        <f t="shared" si="2"/>
        <v>#REF!</v>
      </c>
      <c r="V58" s="139" t="e">
        <f t="shared" si="9"/>
        <v>#REF!</v>
      </c>
    </row>
    <row r="59" spans="1:22">
      <c r="A59" s="100" t="s">
        <v>125</v>
      </c>
      <c r="B59" s="103" t="e">
        <f>IF(Achslast_3=0," - ",((1/(ESchiene*ISchiene))*((Achslast_4*10^3/2)/(8*(1/Lelastisch)^3)*EXP(-(1/Lelastisch)*ABS(G59-x4_)*10^3)*(COS(ABS(G59-x4_)*10^3/Lelastisch)+SIN(ABS(G59-x4_)*10^3/Lelastisch))+(Achslast_3*10^3/2)/(8*(1/Lelastisch)^3)*EXP(-(1/Lelastisch)*ABS(G59-x_3)*10^3)*(COS(ABS(G59-x_3)*10^3/Lelastisch)+SIN(ABS(G59-x_3)*10^3/Lelastisch))+(Achslast_2*10^3/2)/(8*(1/Lelastisch)^3)*EXP(-(1/Lelastisch)*ABS(G59-x_2)*10^3)*(COS(ABS(G59-x_2)*10^3/Lelastisch)+SIN(ABS(G59-x_2)*10^3/Lelastisch))+(Achslast_1*10^3/2)/(8*(1/Lelastisch)^3)*EXP(-(1/Lelastisch)*ABS(G59-x_1)*10^3)*(COS(ABS(G59-x_1)*10^3/Lelastisch)+SIN(ABS(G59-x_1)*10^3/Lelastisch)))))</f>
        <v>#REF!</v>
      </c>
      <c r="C59" s="95" t="s">
        <v>93</v>
      </c>
      <c r="D59" s="95"/>
      <c r="E59" s="95"/>
      <c r="F59" s="102" t="s">
        <v>126</v>
      </c>
      <c r="G59" s="104" t="e">
        <f>IF(B9=0,"-",x_3)</f>
        <v>#REF!</v>
      </c>
      <c r="H59" s="95" t="s">
        <v>66</v>
      </c>
      <c r="I59" s="95"/>
      <c r="J59" s="95"/>
      <c r="K59" s="95"/>
      <c r="L59" s="5"/>
      <c r="M59" s="38">
        <f t="shared" si="3"/>
        <v>4.8999999999999986</v>
      </c>
      <c r="N59" s="39" t="e">
        <f t="shared" si="4"/>
        <v>#REF!</v>
      </c>
      <c r="O59" s="39" t="e">
        <f t="shared" si="5"/>
        <v>#REF!</v>
      </c>
      <c r="P59" s="39" t="e">
        <f t="shared" si="6"/>
        <v>#REF!</v>
      </c>
      <c r="Q59" s="39" t="e">
        <f t="shared" si="7"/>
        <v>#REF!</v>
      </c>
      <c r="R59" s="40" t="e">
        <f t="shared" si="8"/>
        <v>#REF!</v>
      </c>
      <c r="S59" s="40" t="e">
        <f t="shared" si="1"/>
        <v>#REF!</v>
      </c>
      <c r="T59" s="40" t="e">
        <f t="shared" si="10"/>
        <v>#REF!</v>
      </c>
      <c r="U59" s="39" t="e">
        <f t="shared" si="2"/>
        <v>#REF!</v>
      </c>
      <c r="V59" s="139" t="e">
        <f t="shared" si="9"/>
        <v>#REF!</v>
      </c>
    </row>
    <row r="60" spans="1:22">
      <c r="A60" s="100" t="s">
        <v>127</v>
      </c>
      <c r="B60" s="103" t="e">
        <f>IF(Achslast_4=0," - ",((1/(ESchiene*ISchiene))*((Achslast_4*10^3/2)/(8*(1/Lelastisch)^3)*EXP(-(1/Lelastisch)*ABS(G60-x4_)*10^3)*(COS(ABS(G60-x4_)*10^3/Lelastisch)+SIN(ABS(G60-x4_)*10^3/Lelastisch))+(Achslast_3*10^3/2)/(8*(1/Lelastisch)^3)*EXP(-(1/Lelastisch)*ABS(G60-x_3)*10^3)*(COS(ABS(G60-x_3)*10^3/Lelastisch)+SIN(ABS(G60-x_3)*10^3/Lelastisch))+(Achslast_2*10^3/2)/(8*(1/Lelastisch)^3)*EXP(-(1/Lelastisch)*ABS(G60-x_2)*10^3)*(COS(ABS(G60-x_2)*10^3/Lelastisch)+SIN(ABS(G60-x_2)*10^3/Lelastisch))+(Achslast_1*10^3/2)/(8*(1/Lelastisch)^3)*EXP(-(1/Lelastisch)*ABS(G60-x_1)*10^3)*(COS(ABS(G60-x_1)*10^3/Lelastisch)+SIN(ABS(G60-x_1)*10^3/Lelastisch)))))</f>
        <v>#REF!</v>
      </c>
      <c r="C60" s="95" t="s">
        <v>93</v>
      </c>
      <c r="D60" s="95"/>
      <c r="E60" s="95"/>
      <c r="F60" s="102" t="s">
        <v>128</v>
      </c>
      <c r="G60" s="104" t="e">
        <f>IF(B10=0,"-",x4_)</f>
        <v>#REF!</v>
      </c>
      <c r="H60" s="95" t="s">
        <v>66</v>
      </c>
      <c r="I60" s="95"/>
      <c r="J60" s="95"/>
      <c r="K60" s="95"/>
      <c r="L60" s="5"/>
      <c r="M60" s="38">
        <f t="shared" si="3"/>
        <v>4.9999999999999982</v>
      </c>
      <c r="N60" s="39" t="e">
        <f>(1/(ESchiene*ISchiene))*((Achslast_4*10^3/2)/(8*(1/Lelastisch)^3)*EXP(-(1/Lelastisch)*ABS(M60-x4_)*10^3)*(COS(ABS(M60-x4_)*10^3/Lelastisch)+SIN(ABS(M60-x4_)*10^3/Lelastisch))+(Achslast_3*10^3/2)/(8*(1/Lelastisch)^3)*EXP(-(1/Lelastisch)*ABS(M60-x_3)*10^3)*(COS(ABS(M60-x_3)*10^3/Lelastisch)+SIN(ABS(M60-x_3)*10^3/Lelastisch))+(Achslast_2*10^3/2)/(8*(1/Lelastisch)^3)*EXP(-(1/Lelastisch)*ABS(M60-x_2)*10^3)*(COS(ABS(M60-x_2)*10^3/Lelastisch)+SIN(ABS(M60-x_2)*10^3/Lelastisch))+(Achslast_1*10^3/2)/(8*(1/Lelastisch)^3)*EXP(-(1/Lelastisch)*ABS(M60-x_1)*10^3)*(COS(ABS(M60-x_1)*10^3/Lelastisch)+SIN(ABS(M60-x_1)*10^3/Lelastisch)))</f>
        <v>#REF!</v>
      </c>
      <c r="O60" s="39" t="e">
        <f t="shared" si="5"/>
        <v>#REF!</v>
      </c>
      <c r="P60" s="39" t="e">
        <f>((Achslast_4*10^3*kd*kq/2)/(4*(1/Lelastisch))*EXP(-(1/Lelastisch)*ABS(M60-x4_)*10^3)*(COS(ABS(M60-x4_)*10^3/Lelastisch)-SIN(ABS(M60-x4_)*10^3/Lelastisch))+(Achslast_3*10^3*kd*kq/2)/(4*(1/Lelastisch))*EXP(-(1/Lelastisch)*ABS(M60-x_3)*10^3)*(COS(ABS(M60-x_3)*10^3/Lelastisch)-SIN(ABS(M60-x_3)*10^3/Lelastisch))+(Achslast_2*10^3*kd*kq/2)/(4*(1/Lelastisch))*EXP(-(1/Lelastisch)*ABS(M60-x_2)*10^3)*(COS(ABS(M60-x_2)*10^3/Lelastisch)-SIN(ABS(M60-x_2)*10^3/Lelastisch))+(Achslast_1*10^3*kd*kq/2)/(4*(1/Lelastisch))*EXP(-(1/Lelastisch)*ABS(M60-x_1)*10^3)*(COS(ABS(M60-x_1)*10^3/Lelastisch)-SIN(ABS(M60-x_1)*10^3/Lelastisch)))*10^-6</f>
        <v>#REF!</v>
      </c>
      <c r="Q60" s="39" t="e">
        <f t="shared" si="7"/>
        <v>#REF!</v>
      </c>
      <c r="R60" s="40" t="e">
        <f t="shared" si="8"/>
        <v>#REF!</v>
      </c>
      <c r="S60" s="40" t="e">
        <f t="shared" si="1"/>
        <v>#REF!</v>
      </c>
      <c r="T60" s="40" t="e">
        <f t="shared" si="10"/>
        <v>#REF!</v>
      </c>
      <c r="U60" s="39" t="e">
        <f t="shared" si="2"/>
        <v>#REF!</v>
      </c>
      <c r="V60" s="139" t="e">
        <f t="shared" si="9"/>
        <v>#REF!</v>
      </c>
    </row>
    <row r="61" spans="1:22">
      <c r="A61" s="52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5"/>
      <c r="M61" s="38">
        <f>MIN(M60+Dx,LSchiene)</f>
        <v>5.0999999999999979</v>
      </c>
      <c r="N61" s="39" t="e">
        <f t="shared" si="4"/>
        <v>#REF!</v>
      </c>
      <c r="O61" s="39" t="e">
        <f t="shared" si="5"/>
        <v>#REF!</v>
      </c>
      <c r="P61" s="39" t="e">
        <f t="shared" si="6"/>
        <v>#REF!</v>
      </c>
      <c r="Q61" s="39" t="e">
        <f t="shared" si="7"/>
        <v>#REF!</v>
      </c>
      <c r="R61" s="40" t="e">
        <f t="shared" si="8"/>
        <v>#REF!</v>
      </c>
      <c r="S61" s="40" t="e">
        <f t="shared" si="1"/>
        <v>#REF!</v>
      </c>
      <c r="T61" s="40" t="e">
        <f t="shared" si="10"/>
        <v>#REF!</v>
      </c>
      <c r="U61" s="39" t="e">
        <f t="shared" si="2"/>
        <v>#REF!</v>
      </c>
      <c r="V61" s="139" t="e">
        <f t="shared" si="9"/>
        <v>#REF!</v>
      </c>
    </row>
    <row r="62" spans="1:22">
      <c r="A62" s="52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5"/>
      <c r="M62" s="38">
        <f t="shared" si="3"/>
        <v>5.1999999999999975</v>
      </c>
      <c r="N62" s="39" t="e">
        <f t="shared" si="4"/>
        <v>#REF!</v>
      </c>
      <c r="O62" s="39" t="e">
        <f t="shared" si="5"/>
        <v>#REF!</v>
      </c>
      <c r="P62" s="39" t="e">
        <f t="shared" si="6"/>
        <v>#REF!</v>
      </c>
      <c r="Q62" s="39" t="e">
        <f t="shared" si="7"/>
        <v>#REF!</v>
      </c>
      <c r="R62" s="40" t="e">
        <f t="shared" si="8"/>
        <v>#REF!</v>
      </c>
      <c r="S62" s="40" t="e">
        <f t="shared" si="1"/>
        <v>#REF!</v>
      </c>
      <c r="T62" s="40" t="e">
        <f t="shared" si="10"/>
        <v>#REF!</v>
      </c>
      <c r="U62" s="39" t="e">
        <f t="shared" si="2"/>
        <v>#REF!</v>
      </c>
      <c r="V62" s="139" t="e">
        <f t="shared" si="9"/>
        <v>#REF!</v>
      </c>
    </row>
    <row r="63" spans="1:22">
      <c r="A63" s="52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5"/>
      <c r="M63" s="38">
        <f t="shared" si="3"/>
        <v>5.2999999999999972</v>
      </c>
      <c r="N63" s="39" t="e">
        <f t="shared" si="4"/>
        <v>#REF!</v>
      </c>
      <c r="O63" s="39" t="e">
        <f t="shared" si="5"/>
        <v>#REF!</v>
      </c>
      <c r="P63" s="39" t="e">
        <f t="shared" si="6"/>
        <v>#REF!</v>
      </c>
      <c r="Q63" s="39" t="e">
        <f t="shared" si="7"/>
        <v>#REF!</v>
      </c>
      <c r="R63" s="40" t="e">
        <f t="shared" si="8"/>
        <v>#REF!</v>
      </c>
      <c r="S63" s="40" t="e">
        <f t="shared" si="1"/>
        <v>#REF!</v>
      </c>
      <c r="T63" s="40" t="e">
        <f t="shared" si="10"/>
        <v>#REF!</v>
      </c>
      <c r="U63" s="39" t="e">
        <f t="shared" si="2"/>
        <v>#REF!</v>
      </c>
      <c r="V63" s="139" t="e">
        <f t="shared" si="9"/>
        <v>#REF!</v>
      </c>
    </row>
    <row r="64" spans="1:22">
      <c r="A64" s="52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5"/>
      <c r="M64" s="38">
        <f t="shared" si="3"/>
        <v>5.3999999999999968</v>
      </c>
      <c r="N64" s="39" t="e">
        <f t="shared" si="4"/>
        <v>#REF!</v>
      </c>
      <c r="O64" s="39" t="e">
        <f t="shared" si="5"/>
        <v>#REF!</v>
      </c>
      <c r="P64" s="39" t="e">
        <f t="shared" si="6"/>
        <v>#REF!</v>
      </c>
      <c r="Q64" s="39" t="e">
        <f t="shared" si="7"/>
        <v>#REF!</v>
      </c>
      <c r="R64" s="40" t="e">
        <f t="shared" si="8"/>
        <v>#REF!</v>
      </c>
      <c r="S64" s="40" t="e">
        <f t="shared" si="1"/>
        <v>#REF!</v>
      </c>
      <c r="T64" s="40" t="e">
        <f t="shared" si="10"/>
        <v>#REF!</v>
      </c>
      <c r="U64" s="39" t="e">
        <f t="shared" si="2"/>
        <v>#REF!</v>
      </c>
      <c r="V64" s="139" t="e">
        <f t="shared" si="9"/>
        <v>#REF!</v>
      </c>
    </row>
    <row r="65" spans="1:22" hidden="1">
      <c r="A65" s="52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5"/>
      <c r="M65" s="38">
        <f t="shared" si="3"/>
        <v>5.4999999999999964</v>
      </c>
      <c r="N65" s="39" t="e">
        <f t="shared" si="4"/>
        <v>#REF!</v>
      </c>
      <c r="O65" s="39" t="e">
        <f t="shared" si="5"/>
        <v>#REF!</v>
      </c>
      <c r="P65" s="39" t="e">
        <f t="shared" si="6"/>
        <v>#REF!</v>
      </c>
      <c r="Q65" s="39" t="e">
        <f t="shared" si="7"/>
        <v>#REF!</v>
      </c>
      <c r="R65" s="40" t="e">
        <f t="shared" si="8"/>
        <v>#REF!</v>
      </c>
      <c r="S65" s="40" t="e">
        <f t="shared" si="1"/>
        <v>#REF!</v>
      </c>
      <c r="T65" s="40" t="e">
        <f t="shared" si="10"/>
        <v>#REF!</v>
      </c>
      <c r="U65" s="39" t="e">
        <f t="shared" si="2"/>
        <v>#REF!</v>
      </c>
      <c r="V65" s="139" t="e">
        <f t="shared" si="9"/>
        <v>#REF!</v>
      </c>
    </row>
    <row r="66" spans="1:22" hidden="1">
      <c r="A66" s="52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5"/>
      <c r="M66" s="38">
        <f t="shared" si="3"/>
        <v>5.5999999999999961</v>
      </c>
      <c r="N66" s="39" t="e">
        <f t="shared" si="4"/>
        <v>#REF!</v>
      </c>
      <c r="O66" s="39" t="e">
        <f t="shared" si="5"/>
        <v>#REF!</v>
      </c>
      <c r="P66" s="39" t="e">
        <f t="shared" si="6"/>
        <v>#REF!</v>
      </c>
      <c r="Q66" s="39" t="e">
        <f t="shared" si="7"/>
        <v>#REF!</v>
      </c>
      <c r="R66" s="40" t="e">
        <f t="shared" si="8"/>
        <v>#REF!</v>
      </c>
      <c r="S66" s="40" t="e">
        <f t="shared" si="1"/>
        <v>#REF!</v>
      </c>
      <c r="T66" s="40" t="e">
        <f t="shared" si="10"/>
        <v>#REF!</v>
      </c>
      <c r="U66" s="39" t="e">
        <f t="shared" si="2"/>
        <v>#REF!</v>
      </c>
      <c r="V66" s="139" t="e">
        <f t="shared" si="9"/>
        <v>#REF!</v>
      </c>
    </row>
    <row r="67" spans="1:22" hidden="1">
      <c r="A67" s="52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5"/>
      <c r="M67" s="38">
        <f t="shared" si="3"/>
        <v>5.6999999999999957</v>
      </c>
      <c r="N67" s="39" t="e">
        <f t="shared" si="4"/>
        <v>#REF!</v>
      </c>
      <c r="O67" s="39" t="e">
        <f t="shared" si="5"/>
        <v>#REF!</v>
      </c>
      <c r="P67" s="39" t="e">
        <f t="shared" si="6"/>
        <v>#REF!</v>
      </c>
      <c r="Q67" s="39" t="e">
        <f t="shared" si="7"/>
        <v>#REF!</v>
      </c>
      <c r="R67" s="40" t="e">
        <f t="shared" si="8"/>
        <v>#REF!</v>
      </c>
      <c r="S67" s="40" t="e">
        <f t="shared" si="1"/>
        <v>#REF!</v>
      </c>
      <c r="T67" s="40" t="e">
        <f t="shared" si="10"/>
        <v>#REF!</v>
      </c>
      <c r="U67" s="39" t="e">
        <f t="shared" si="2"/>
        <v>#REF!</v>
      </c>
      <c r="V67" s="139" t="e">
        <f t="shared" si="9"/>
        <v>#REF!</v>
      </c>
    </row>
    <row r="68" spans="1:22" hidden="1">
      <c r="A68" s="157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5"/>
      <c r="M68" s="38">
        <f t="shared" si="3"/>
        <v>5.7999999999999954</v>
      </c>
      <c r="N68" s="39" t="e">
        <f t="shared" si="4"/>
        <v>#REF!</v>
      </c>
      <c r="O68" s="39" t="e">
        <f t="shared" si="5"/>
        <v>#REF!</v>
      </c>
      <c r="P68" s="39" t="e">
        <f t="shared" si="6"/>
        <v>#REF!</v>
      </c>
      <c r="Q68" s="39" t="e">
        <f t="shared" si="7"/>
        <v>#REF!</v>
      </c>
      <c r="R68" s="40" t="e">
        <f t="shared" si="8"/>
        <v>#REF!</v>
      </c>
      <c r="S68" s="40" t="e">
        <f t="shared" si="1"/>
        <v>#REF!</v>
      </c>
      <c r="T68" s="40" t="e">
        <f t="shared" si="10"/>
        <v>#REF!</v>
      </c>
      <c r="U68" s="39" t="e">
        <f t="shared" si="2"/>
        <v>#REF!</v>
      </c>
      <c r="V68" s="139" t="e">
        <f t="shared" si="9"/>
        <v>#REF!</v>
      </c>
    </row>
    <row r="69" spans="1:22" hidden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5"/>
      <c r="M69" s="38">
        <f t="shared" si="3"/>
        <v>5.899999999999995</v>
      </c>
      <c r="N69" s="39" t="e">
        <f t="shared" si="4"/>
        <v>#REF!</v>
      </c>
      <c r="O69" s="39" t="e">
        <f t="shared" si="5"/>
        <v>#REF!</v>
      </c>
      <c r="P69" s="39" t="e">
        <f t="shared" si="6"/>
        <v>#REF!</v>
      </c>
      <c r="Q69" s="39" t="e">
        <f t="shared" si="7"/>
        <v>#REF!</v>
      </c>
      <c r="R69" s="40" t="e">
        <f t="shared" si="8"/>
        <v>#REF!</v>
      </c>
      <c r="S69" s="40" t="e">
        <f t="shared" si="1"/>
        <v>#REF!</v>
      </c>
      <c r="T69" s="40" t="e">
        <f t="shared" si="10"/>
        <v>#REF!</v>
      </c>
      <c r="U69" s="39" t="e">
        <f t="shared" si="2"/>
        <v>#REF!</v>
      </c>
      <c r="V69" s="139" t="e">
        <f t="shared" si="9"/>
        <v>#REF!</v>
      </c>
    </row>
    <row r="70" spans="1:22" ht="15" hidden="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98"/>
      <c r="M70" s="38">
        <f t="shared" si="3"/>
        <v>5.9999999999999947</v>
      </c>
      <c r="N70" s="99"/>
      <c r="O70" s="99"/>
      <c r="P70" s="99"/>
      <c r="Q70" s="99"/>
      <c r="R70" s="99"/>
      <c r="S70" s="99"/>
      <c r="T70" s="40" t="e">
        <f t="shared" si="10"/>
        <v>#REF!</v>
      </c>
      <c r="U70" s="39">
        <f t="shared" si="2"/>
        <v>0</v>
      </c>
      <c r="V70" s="139" t="e">
        <f t="shared" si="9"/>
        <v>#REF!</v>
      </c>
    </row>
    <row r="71" spans="1:22" hidden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98"/>
      <c r="M71" s="38">
        <f t="shared" si="3"/>
        <v>6.0999999999999943</v>
      </c>
      <c r="N71" s="39" t="e">
        <f t="shared" si="4"/>
        <v>#REF!</v>
      </c>
      <c r="O71" s="39" t="e">
        <f t="shared" si="5"/>
        <v>#REF!</v>
      </c>
      <c r="P71" s="39" t="e">
        <f t="shared" si="6"/>
        <v>#REF!</v>
      </c>
      <c r="Q71" s="39" t="e">
        <f t="shared" si="7"/>
        <v>#REF!</v>
      </c>
      <c r="R71" s="40" t="e">
        <f t="shared" si="8"/>
        <v>#REF!</v>
      </c>
      <c r="S71" s="40" t="e">
        <f t="shared" si="1"/>
        <v>#REF!</v>
      </c>
      <c r="T71" s="40" t="e">
        <f t="shared" si="10"/>
        <v>#REF!</v>
      </c>
      <c r="U71" s="39" t="e">
        <f t="shared" si="2"/>
        <v>#REF!</v>
      </c>
      <c r="V71" s="139" t="e">
        <f t="shared" si="9"/>
        <v>#REF!</v>
      </c>
    </row>
    <row r="72" spans="1:22" hidden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98"/>
      <c r="M72" s="38">
        <f t="shared" si="3"/>
        <v>6.199999999999994</v>
      </c>
      <c r="N72" s="39" t="e">
        <f t="shared" si="4"/>
        <v>#REF!</v>
      </c>
      <c r="O72" s="39" t="e">
        <f t="shared" si="5"/>
        <v>#REF!</v>
      </c>
      <c r="P72" s="39" t="e">
        <f t="shared" si="6"/>
        <v>#REF!</v>
      </c>
      <c r="Q72" s="39" t="e">
        <f t="shared" si="7"/>
        <v>#REF!</v>
      </c>
      <c r="R72" s="40" t="e">
        <f t="shared" si="8"/>
        <v>#REF!</v>
      </c>
      <c r="S72" s="40" t="e">
        <f t="shared" si="1"/>
        <v>#REF!</v>
      </c>
      <c r="T72" s="40" t="e">
        <f t="shared" si="10"/>
        <v>#REF!</v>
      </c>
      <c r="U72" s="39" t="e">
        <f t="shared" ref="U72:U135" si="11">ktot*N72</f>
        <v>#REF!</v>
      </c>
      <c r="V72" s="139" t="e">
        <f t="shared" si="9"/>
        <v>#REF!</v>
      </c>
    </row>
    <row r="73" spans="1:22" hidden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98"/>
      <c r="M73" s="38">
        <f t="shared" ref="M73:M74" si="12">MIN(M72+Dx,LSchiene)</f>
        <v>6.2999999999999936</v>
      </c>
      <c r="N73" s="39" t="e">
        <f t="shared" si="4"/>
        <v>#REF!</v>
      </c>
      <c r="O73" s="39" t="e">
        <f t="shared" si="5"/>
        <v>#REF!</v>
      </c>
      <c r="P73" s="39" t="e">
        <f t="shared" si="6"/>
        <v>#REF!</v>
      </c>
      <c r="Q73" s="39" t="e">
        <f t="shared" si="7"/>
        <v>#REF!</v>
      </c>
      <c r="R73" s="40" t="e">
        <f t="shared" si="8"/>
        <v>#REF!</v>
      </c>
      <c r="S73" s="40" t="e">
        <f t="shared" si="1"/>
        <v>#REF!</v>
      </c>
      <c r="T73" s="40" t="e">
        <f t="shared" si="10"/>
        <v>#REF!</v>
      </c>
      <c r="U73" s="39" t="e">
        <f t="shared" si="11"/>
        <v>#REF!</v>
      </c>
      <c r="V73" s="139" t="e">
        <f t="shared" si="9"/>
        <v>#REF!</v>
      </c>
    </row>
    <row r="74" spans="1:22" hidden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98"/>
      <c r="M74" s="38">
        <f t="shared" si="12"/>
        <v>6.3999999999999932</v>
      </c>
      <c r="N74" s="39" t="e">
        <f t="shared" ref="N74:N137" si="13">(1/(ESchiene*ISchiene))*((Achslast_4*10^3/2)/(8*(1/Lelastisch)^3)*EXP(-(1/Lelastisch)*ABS(M74-x4_)*10^3)*(COS(ABS(M74-x4_)*10^3/Lelastisch)+SIN(ABS(M74-x4_)*10^3/Lelastisch))+(Achslast_3*10^3/2)/(8*(1/Lelastisch)^3)*EXP(-(1/Lelastisch)*ABS(M74-x_3)*10^3)*(COS(ABS(M74-x_3)*10^3/Lelastisch)+SIN(ABS(M74-x_3)*10^3/Lelastisch))+(Achslast_2*10^3/2)/(8*(1/Lelastisch)^3)*EXP(-(1/Lelastisch)*ABS(M74-x_2)*10^3)*(COS(ABS(M74-x_2)*10^3/Lelastisch)+SIN(ABS(M74-x_2)*10^3/Lelastisch))+(Achslast_1*10^3/2)/(8*(1/Lelastisch)^3)*EXP(-(1/Lelastisch)*ABS(M74-x_1)*10^3)*(COS(ABS(M74-x_1)*10^3/Lelastisch)+SIN(ABS(M74-x_1)*10^3/Lelastisch)))</f>
        <v>#REF!</v>
      </c>
      <c r="O74" s="39" t="e">
        <f t="shared" ref="O74:O137" si="14">((Achslast_4*10^3/2)/(4*(1/Lelastisch))*EXP(-(1/Lelastisch)*ABS(M74-x4_)*10^3)*(COS(ABS(M74-x4_)*10^3/Lelastisch)-SIN(ABS(M74-x4_)*10^3/Lelastisch))+(Achslast_3*10^3/2)/(4*(1/Lelastisch))*EXP(-(1/Lelastisch)*ABS(M74-x_3)*10^3)*(COS(ABS(M74-x_3)*10^3/Lelastisch)-SIN(ABS(M74-x_3)*10^3/Lelastisch))+(Achslast_2*10^3/2)/(4*(1/Lelastisch))*EXP(-(1/Lelastisch)*ABS(M74-x_2)*10^3)*(COS(ABS(M74-x_2)*10^3/Lelastisch)-SIN(ABS(M74-x_2)*10^3/Lelastisch))+(Achslast_1*10^3/2)/(4*(1/Lelastisch))*EXP(-(1/Lelastisch)*ABS(M74-x_1)*10^3)*(COS(ABS(M74-x_1)*10^3/Lelastisch)-SIN(ABS(M74-x_1)*10^3/Lelastisch)))*10^-6</f>
        <v>#REF!</v>
      </c>
      <c r="P74" s="39" t="e">
        <f t="shared" ref="P74:P137" si="15">((Achslast_4*10^3*kd*kq/2)/(4*(1/Lelastisch))*EXP(-(1/Lelastisch)*ABS(M74-x4_)*10^3)*(COS(ABS(M74-x4_)*10^3/Lelastisch)-SIN(ABS(M74-x4_)*10^3/Lelastisch))+(Achslast_3*10^3*kd*kq/2)/(4*(1/Lelastisch))*EXP(-(1/Lelastisch)*ABS(M74-x_3)*10^3)*(COS(ABS(M74-x_3)*10^3/Lelastisch)-SIN(ABS(M74-x_3)*10^3/Lelastisch))+(Achslast_2*10^3*kd*kq/2)/(4*(1/Lelastisch))*EXP(-(1/Lelastisch)*ABS(M74-x_2)*10^3)*(COS(ABS(M74-x_2)*10^3/Lelastisch)-SIN(ABS(M74-x_2)*10^3/Lelastisch))+(Achslast_1*10^3*kd*kq/2)/(4*(1/Lelastisch))*EXP(-(1/Lelastisch)*ABS(M74-x_1)*10^3)*(COS(ABS(M74-x_1)*10^3/Lelastisch)-SIN(ABS(M74-x_1)*10^3/Lelastisch)))*10^-6</f>
        <v>#REF!</v>
      </c>
      <c r="Q74" s="39" t="e">
        <f t="shared" ref="Q74:Q137" si="16">P74/WSchiene*10^6</f>
        <v>#REF!</v>
      </c>
      <c r="R74" s="40" t="e">
        <f t="shared" ref="R74:R137" si="17">(O74/WSchiene)*10^6*(1+3*Faktor_Oberbauzustand*fPersonenzüge)</f>
        <v>#REF!</v>
      </c>
      <c r="S74" s="40" t="e">
        <f t="shared" ref="S74:S137" si="18">(O74/WSchiene)*10^6*(1+3*Faktor_Oberbauzustand*fGüterzüge)</f>
        <v>#REF!</v>
      </c>
      <c r="T74" s="40" t="e">
        <f t="shared" si="10"/>
        <v>#REF!</v>
      </c>
      <c r="U74" s="39" t="e">
        <f t="shared" si="11"/>
        <v>#REF!</v>
      </c>
      <c r="V74" s="139" t="e">
        <f t="shared" ref="V74:V137" si="19">MAX($U$8:$U$330)</f>
        <v>#REF!</v>
      </c>
    </row>
    <row r="75" spans="1:22" hidden="1">
      <c r="A75" s="173"/>
      <c r="B75" s="156"/>
      <c r="C75" s="156"/>
      <c r="D75" s="156"/>
      <c r="E75" s="156"/>
      <c r="F75" s="156"/>
      <c r="G75" s="156"/>
      <c r="H75" s="156"/>
      <c r="I75" s="156"/>
      <c r="J75" s="156"/>
      <c r="K75" s="156"/>
      <c r="L75" s="106"/>
      <c r="M75" s="38">
        <f t="shared" ref="M75:M138" si="20">MIN(M74+Dx,LSchiene)</f>
        <v>6.4999999999999929</v>
      </c>
      <c r="N75" s="107" t="e">
        <f t="shared" si="13"/>
        <v>#REF!</v>
      </c>
      <c r="O75" s="107" t="e">
        <f t="shared" si="14"/>
        <v>#REF!</v>
      </c>
      <c r="P75" s="107" t="e">
        <f t="shared" si="15"/>
        <v>#REF!</v>
      </c>
      <c r="Q75" s="107" t="e">
        <f t="shared" si="16"/>
        <v>#REF!</v>
      </c>
      <c r="R75" s="108" t="e">
        <f t="shared" si="17"/>
        <v>#REF!</v>
      </c>
      <c r="S75" s="108" t="e">
        <f t="shared" si="18"/>
        <v>#REF!</v>
      </c>
      <c r="T75" s="40" t="e">
        <f t="shared" si="10"/>
        <v>#REF!</v>
      </c>
      <c r="U75" s="39" t="e">
        <f t="shared" si="11"/>
        <v>#REF!</v>
      </c>
      <c r="V75" s="139" t="e">
        <f t="shared" si="19"/>
        <v>#REF!</v>
      </c>
    </row>
    <row r="76" spans="1:22">
      <c r="A76" s="88"/>
      <c r="B76" s="81"/>
      <c r="C76" s="81"/>
      <c r="D76" s="81"/>
      <c r="E76" s="81"/>
      <c r="F76" s="81"/>
      <c r="G76" s="81"/>
      <c r="H76" s="81"/>
      <c r="I76" s="81"/>
      <c r="J76" s="89"/>
      <c r="K76" s="81"/>
      <c r="L76" s="109"/>
      <c r="M76" s="38">
        <f t="shared" si="20"/>
        <v>6.5999999999999925</v>
      </c>
      <c r="N76" s="110" t="e">
        <f t="shared" si="13"/>
        <v>#REF!</v>
      </c>
      <c r="O76" s="110" t="e">
        <f t="shared" si="14"/>
        <v>#REF!</v>
      </c>
      <c r="P76" s="110" t="e">
        <f t="shared" si="15"/>
        <v>#REF!</v>
      </c>
      <c r="Q76" s="110" t="e">
        <f t="shared" si="16"/>
        <v>#REF!</v>
      </c>
      <c r="R76" s="111" t="e">
        <f t="shared" si="17"/>
        <v>#REF!</v>
      </c>
      <c r="S76" s="111" t="e">
        <f t="shared" si="18"/>
        <v>#REF!</v>
      </c>
      <c r="T76" s="40" t="e">
        <f t="shared" si="10"/>
        <v>#REF!</v>
      </c>
      <c r="U76" s="39" t="e">
        <f t="shared" si="11"/>
        <v>#REF!</v>
      </c>
      <c r="V76" s="139" t="e">
        <f t="shared" si="19"/>
        <v>#REF!</v>
      </c>
    </row>
    <row r="77" spans="1:22" ht="18">
      <c r="A77" s="112" t="s">
        <v>129</v>
      </c>
      <c r="B77" s="7"/>
      <c r="C77" s="7"/>
      <c r="D77" s="7"/>
      <c r="E77" s="7"/>
      <c r="F77" s="7"/>
      <c r="G77" s="7"/>
      <c r="H77" s="7"/>
      <c r="I77" s="7"/>
      <c r="J77" s="10"/>
      <c r="K77" s="84"/>
      <c r="L77" s="5"/>
      <c r="M77" s="38">
        <f t="shared" si="20"/>
        <v>6.6999999999999922</v>
      </c>
      <c r="N77" s="39" t="e">
        <f t="shared" si="13"/>
        <v>#REF!</v>
      </c>
      <c r="O77" s="39" t="e">
        <f t="shared" si="14"/>
        <v>#REF!</v>
      </c>
      <c r="P77" s="39" t="e">
        <f t="shared" si="15"/>
        <v>#REF!</v>
      </c>
      <c r="Q77" s="39" t="e">
        <f t="shared" si="16"/>
        <v>#REF!</v>
      </c>
      <c r="R77" s="40" t="e">
        <f t="shared" si="17"/>
        <v>#REF!</v>
      </c>
      <c r="S77" s="40" t="e">
        <f t="shared" si="18"/>
        <v>#REF!</v>
      </c>
      <c r="T77" s="40" t="e">
        <f t="shared" si="10"/>
        <v>#REF!</v>
      </c>
      <c r="U77" s="39" t="e">
        <f t="shared" si="11"/>
        <v>#REF!</v>
      </c>
      <c r="V77" s="139" t="e">
        <f t="shared" si="19"/>
        <v>#REF!</v>
      </c>
    </row>
    <row r="78" spans="1:22">
      <c r="A78" s="113" t="s">
        <v>130</v>
      </c>
      <c r="B78" s="114"/>
      <c r="C78" s="114"/>
      <c r="D78" s="114"/>
      <c r="E78" s="114"/>
      <c r="F78" s="114"/>
      <c r="G78" s="114"/>
      <c r="H78" s="71"/>
      <c r="I78" s="151"/>
      <c r="J78" s="10"/>
      <c r="K78" s="84"/>
      <c r="L78" s="5"/>
      <c r="M78" s="38">
        <f t="shared" si="20"/>
        <v>6.7999999999999918</v>
      </c>
      <c r="N78" s="39" t="e">
        <f t="shared" si="13"/>
        <v>#REF!</v>
      </c>
      <c r="O78" s="39" t="e">
        <f t="shared" si="14"/>
        <v>#REF!</v>
      </c>
      <c r="P78" s="39" t="e">
        <f t="shared" si="15"/>
        <v>#REF!</v>
      </c>
      <c r="Q78" s="39" t="e">
        <f t="shared" si="16"/>
        <v>#REF!</v>
      </c>
      <c r="R78" s="40" t="e">
        <f t="shared" si="17"/>
        <v>#REF!</v>
      </c>
      <c r="S78" s="40" t="e">
        <f t="shared" si="18"/>
        <v>#REF!</v>
      </c>
      <c r="T78" s="40" t="e">
        <f t="shared" si="10"/>
        <v>#REF!</v>
      </c>
      <c r="U78" s="39" t="e">
        <f t="shared" si="11"/>
        <v>#REF!</v>
      </c>
      <c r="V78" s="139" t="e">
        <f t="shared" si="19"/>
        <v>#REF!</v>
      </c>
    </row>
    <row r="79" spans="1:22">
      <c r="A79" s="115" t="s">
        <v>131</v>
      </c>
      <c r="B79" s="200">
        <v>1.25</v>
      </c>
      <c r="C79" s="37"/>
      <c r="D79" s="37"/>
      <c r="E79" s="37"/>
      <c r="F79" s="37"/>
      <c r="G79" s="37"/>
      <c r="H79" s="28"/>
      <c r="I79" s="151"/>
      <c r="J79" s="10"/>
      <c r="K79" s="84"/>
      <c r="L79" s="5"/>
      <c r="M79" s="38">
        <f t="shared" si="20"/>
        <v>6.8999999999999915</v>
      </c>
      <c r="N79" s="39" t="e">
        <f t="shared" si="13"/>
        <v>#REF!</v>
      </c>
      <c r="O79" s="39" t="e">
        <f t="shared" si="14"/>
        <v>#REF!</v>
      </c>
      <c r="P79" s="39" t="e">
        <f t="shared" si="15"/>
        <v>#REF!</v>
      </c>
      <c r="Q79" s="39" t="e">
        <f t="shared" si="16"/>
        <v>#REF!</v>
      </c>
      <c r="R79" s="40" t="e">
        <f t="shared" si="17"/>
        <v>#REF!</v>
      </c>
      <c r="S79" s="40" t="e">
        <f t="shared" si="18"/>
        <v>#REF!</v>
      </c>
      <c r="T79" s="40" t="e">
        <f t="shared" si="10"/>
        <v>#REF!</v>
      </c>
      <c r="U79" s="39" t="e">
        <f t="shared" si="11"/>
        <v>#REF!</v>
      </c>
      <c r="V79" s="139" t="e">
        <f t="shared" si="19"/>
        <v>#REF!</v>
      </c>
    </row>
    <row r="80" spans="1:22">
      <c r="A80" s="26" t="s">
        <v>132</v>
      </c>
      <c r="B80" s="37"/>
      <c r="C80" s="37"/>
      <c r="D80" s="37"/>
      <c r="E80" s="37"/>
      <c r="F80" s="37"/>
      <c r="G80" s="37"/>
      <c r="H80" s="28"/>
      <c r="I80" s="151"/>
      <c r="J80" s="10"/>
      <c r="K80" s="84"/>
      <c r="L80" s="30"/>
      <c r="M80" s="38">
        <f t="shared" si="20"/>
        <v>6.9999999999999911</v>
      </c>
      <c r="N80" s="39" t="e">
        <f t="shared" si="13"/>
        <v>#REF!</v>
      </c>
      <c r="O80" s="39" t="e">
        <f t="shared" si="14"/>
        <v>#REF!</v>
      </c>
      <c r="P80" s="39" t="e">
        <f t="shared" si="15"/>
        <v>#REF!</v>
      </c>
      <c r="Q80" s="39" t="e">
        <f t="shared" si="16"/>
        <v>#REF!</v>
      </c>
      <c r="R80" s="40" t="e">
        <f t="shared" si="17"/>
        <v>#REF!</v>
      </c>
      <c r="S80" s="40" t="e">
        <f t="shared" si="18"/>
        <v>#REF!</v>
      </c>
      <c r="T80" s="40" t="e">
        <f t="shared" si="10"/>
        <v>#REF!</v>
      </c>
      <c r="U80" s="39" t="e">
        <f t="shared" si="11"/>
        <v>#REF!</v>
      </c>
      <c r="V80" s="139" t="e">
        <f t="shared" si="19"/>
        <v>#REF!</v>
      </c>
    </row>
    <row r="81" spans="1:22">
      <c r="A81" s="116" t="s">
        <v>133</v>
      </c>
      <c r="B81" s="201">
        <v>1.5</v>
      </c>
      <c r="C81" s="117"/>
      <c r="D81" s="117"/>
      <c r="E81" s="117"/>
      <c r="F81" s="117"/>
      <c r="G81" s="117"/>
      <c r="H81" s="80"/>
      <c r="I81" s="151"/>
      <c r="J81" s="10"/>
      <c r="K81" s="84"/>
      <c r="L81" s="30"/>
      <c r="M81" s="38">
        <f t="shared" si="20"/>
        <v>7.0999999999999908</v>
      </c>
      <c r="N81" s="39" t="e">
        <f t="shared" si="13"/>
        <v>#REF!</v>
      </c>
      <c r="O81" s="39" t="e">
        <f t="shared" si="14"/>
        <v>#REF!</v>
      </c>
      <c r="P81" s="39" t="e">
        <f t="shared" si="15"/>
        <v>#REF!</v>
      </c>
      <c r="Q81" s="39" t="e">
        <f t="shared" si="16"/>
        <v>#REF!</v>
      </c>
      <c r="R81" s="40" t="e">
        <f t="shared" si="17"/>
        <v>#REF!</v>
      </c>
      <c r="S81" s="40" t="e">
        <f t="shared" si="18"/>
        <v>#REF!</v>
      </c>
      <c r="T81" s="40" t="e">
        <f t="shared" si="10"/>
        <v>#REF!</v>
      </c>
      <c r="U81" s="39" t="e">
        <f t="shared" si="11"/>
        <v>#REF!</v>
      </c>
      <c r="V81" s="139" t="e">
        <f t="shared" si="19"/>
        <v>#REF!</v>
      </c>
    </row>
    <row r="82" spans="1:22">
      <c r="A82" s="88"/>
      <c r="B82" s="81"/>
      <c r="C82" s="81"/>
      <c r="D82" s="81"/>
      <c r="E82" s="2"/>
      <c r="F82" s="2"/>
      <c r="G82" s="2"/>
      <c r="H82" s="2"/>
      <c r="I82" s="2"/>
      <c r="J82" s="84"/>
      <c r="K82" s="84"/>
      <c r="L82" s="30"/>
      <c r="M82" s="38">
        <f t="shared" si="20"/>
        <v>7.1999999999999904</v>
      </c>
      <c r="N82" s="39" t="e">
        <f t="shared" si="13"/>
        <v>#REF!</v>
      </c>
      <c r="O82" s="39" t="e">
        <f t="shared" si="14"/>
        <v>#REF!</v>
      </c>
      <c r="P82" s="39" t="e">
        <f t="shared" si="15"/>
        <v>#REF!</v>
      </c>
      <c r="Q82" s="39" t="e">
        <f t="shared" si="16"/>
        <v>#REF!</v>
      </c>
      <c r="R82" s="40" t="e">
        <f t="shared" si="17"/>
        <v>#REF!</v>
      </c>
      <c r="S82" s="40" t="e">
        <f t="shared" si="18"/>
        <v>#REF!</v>
      </c>
      <c r="T82" s="40" t="e">
        <f t="shared" ref="T82:T145" si="21">IF(N82=MAX($N$8:$N$330),N82,#N/A)</f>
        <v>#REF!</v>
      </c>
      <c r="U82" s="39" t="e">
        <f t="shared" si="11"/>
        <v>#REF!</v>
      </c>
      <c r="V82" s="139" t="e">
        <f t="shared" si="19"/>
        <v>#REF!</v>
      </c>
    </row>
    <row r="83" spans="1:22">
      <c r="A83" s="52"/>
      <c r="B83" s="84"/>
      <c r="C83" s="84"/>
      <c r="D83" s="84"/>
      <c r="E83" s="10"/>
      <c r="F83" s="84"/>
      <c r="G83" s="84"/>
      <c r="H83" s="84"/>
      <c r="I83" s="84"/>
      <c r="J83" s="84"/>
      <c r="K83" s="84"/>
      <c r="L83" s="30"/>
      <c r="M83" s="38">
        <f t="shared" si="20"/>
        <v>7.2999999999999901</v>
      </c>
      <c r="N83" s="39" t="e">
        <f t="shared" si="13"/>
        <v>#REF!</v>
      </c>
      <c r="O83" s="39" t="e">
        <f t="shared" si="14"/>
        <v>#REF!</v>
      </c>
      <c r="P83" s="39" t="e">
        <f t="shared" si="15"/>
        <v>#REF!</v>
      </c>
      <c r="Q83" s="39" t="e">
        <f t="shared" si="16"/>
        <v>#REF!</v>
      </c>
      <c r="R83" s="40" t="e">
        <f t="shared" si="17"/>
        <v>#REF!</v>
      </c>
      <c r="S83" s="40" t="e">
        <f t="shared" si="18"/>
        <v>#REF!</v>
      </c>
      <c r="T83" s="40" t="e">
        <f t="shared" si="21"/>
        <v>#REF!</v>
      </c>
      <c r="U83" s="39" t="e">
        <f t="shared" si="11"/>
        <v>#REF!</v>
      </c>
      <c r="V83" s="139" t="e">
        <f t="shared" si="19"/>
        <v>#REF!</v>
      </c>
    </row>
    <row r="84" spans="1:22">
      <c r="A84" s="91"/>
      <c r="B84" s="84"/>
      <c r="C84" s="84"/>
      <c r="D84" s="84"/>
      <c r="E84" s="10"/>
      <c r="F84" s="84"/>
      <c r="G84" s="84"/>
      <c r="H84" s="84"/>
      <c r="I84" s="84"/>
      <c r="J84" s="84"/>
      <c r="K84" s="84"/>
      <c r="L84" s="30"/>
      <c r="M84" s="38">
        <f t="shared" si="20"/>
        <v>7.3999999999999897</v>
      </c>
      <c r="N84" s="39" t="e">
        <f t="shared" si="13"/>
        <v>#REF!</v>
      </c>
      <c r="O84" s="39" t="e">
        <f t="shared" si="14"/>
        <v>#REF!</v>
      </c>
      <c r="P84" s="39" t="e">
        <f t="shared" si="15"/>
        <v>#REF!</v>
      </c>
      <c r="Q84" s="39" t="e">
        <f t="shared" si="16"/>
        <v>#REF!</v>
      </c>
      <c r="R84" s="40" t="e">
        <f t="shared" si="17"/>
        <v>#REF!</v>
      </c>
      <c r="S84" s="40" t="e">
        <f t="shared" si="18"/>
        <v>#REF!</v>
      </c>
      <c r="T84" s="40" t="e">
        <f t="shared" si="21"/>
        <v>#REF!</v>
      </c>
      <c r="U84" s="39" t="e">
        <f t="shared" si="11"/>
        <v>#REF!</v>
      </c>
      <c r="V84" s="139" t="e">
        <f t="shared" si="19"/>
        <v>#REF!</v>
      </c>
    </row>
    <row r="85" spans="1:22">
      <c r="A85" s="52"/>
      <c r="B85" s="84"/>
      <c r="C85" s="84"/>
      <c r="D85" s="84"/>
      <c r="E85" s="10"/>
      <c r="F85" s="84"/>
      <c r="G85" s="84"/>
      <c r="H85" s="84"/>
      <c r="I85" s="84"/>
      <c r="J85" s="84"/>
      <c r="K85" s="84"/>
      <c r="L85" s="5"/>
      <c r="M85" s="38">
        <f t="shared" si="20"/>
        <v>7.4999999999999893</v>
      </c>
      <c r="N85" s="39" t="e">
        <f t="shared" si="13"/>
        <v>#REF!</v>
      </c>
      <c r="O85" s="39" t="e">
        <f t="shared" si="14"/>
        <v>#REF!</v>
      </c>
      <c r="P85" s="39" t="e">
        <f t="shared" si="15"/>
        <v>#REF!</v>
      </c>
      <c r="Q85" s="39" t="e">
        <f t="shared" si="16"/>
        <v>#REF!</v>
      </c>
      <c r="R85" s="40" t="e">
        <f t="shared" si="17"/>
        <v>#REF!</v>
      </c>
      <c r="S85" s="40" t="e">
        <f t="shared" si="18"/>
        <v>#REF!</v>
      </c>
      <c r="T85" s="40" t="e">
        <f t="shared" si="21"/>
        <v>#REF!</v>
      </c>
      <c r="U85" s="39" t="e">
        <f t="shared" si="11"/>
        <v>#REF!</v>
      </c>
      <c r="V85" s="139" t="e">
        <f t="shared" si="19"/>
        <v>#REF!</v>
      </c>
    </row>
    <row r="86" spans="1:22">
      <c r="A86" s="52"/>
      <c r="B86" s="84"/>
      <c r="C86" s="84"/>
      <c r="D86" s="84"/>
      <c r="E86" s="10"/>
      <c r="F86" s="84"/>
      <c r="G86" s="84"/>
      <c r="H86" s="84"/>
      <c r="I86" s="84"/>
      <c r="J86" s="84"/>
      <c r="K86" s="84"/>
      <c r="L86" s="5"/>
      <c r="M86" s="38">
        <f t="shared" si="20"/>
        <v>7.599999999999989</v>
      </c>
      <c r="N86" s="39" t="e">
        <f t="shared" si="13"/>
        <v>#REF!</v>
      </c>
      <c r="O86" s="39" t="e">
        <f t="shared" si="14"/>
        <v>#REF!</v>
      </c>
      <c r="P86" s="39" t="e">
        <f t="shared" si="15"/>
        <v>#REF!</v>
      </c>
      <c r="Q86" s="39" t="e">
        <f t="shared" si="16"/>
        <v>#REF!</v>
      </c>
      <c r="R86" s="40" t="e">
        <f t="shared" si="17"/>
        <v>#REF!</v>
      </c>
      <c r="S86" s="40" t="e">
        <f t="shared" si="18"/>
        <v>#REF!</v>
      </c>
      <c r="T86" s="40" t="e">
        <f t="shared" si="21"/>
        <v>#REF!</v>
      </c>
      <c r="U86" s="39" t="e">
        <f t="shared" si="11"/>
        <v>#REF!</v>
      </c>
      <c r="V86" s="139" t="e">
        <f t="shared" si="19"/>
        <v>#REF!</v>
      </c>
    </row>
    <row r="87" spans="1:22" ht="35.5">
      <c r="A87" s="196" t="s">
        <v>134</v>
      </c>
      <c r="B87" s="175" t="e">
        <f>MAX(P8:P310)</f>
        <v>#REF!</v>
      </c>
      <c r="C87" s="176" t="s">
        <v>135</v>
      </c>
      <c r="D87" s="84"/>
      <c r="E87" s="10"/>
      <c r="F87" s="84"/>
      <c r="G87" s="84"/>
      <c r="H87" s="84"/>
      <c r="I87" s="84"/>
      <c r="J87" s="84"/>
      <c r="K87" s="84"/>
      <c r="L87" s="5"/>
      <c r="M87" s="38">
        <f t="shared" si="20"/>
        <v>7.6999999999999886</v>
      </c>
      <c r="N87" s="118" t="e">
        <f t="shared" si="13"/>
        <v>#REF!</v>
      </c>
      <c r="O87" s="118" t="e">
        <f t="shared" si="14"/>
        <v>#REF!</v>
      </c>
      <c r="P87" s="118" t="e">
        <f t="shared" si="15"/>
        <v>#REF!</v>
      </c>
      <c r="Q87" s="118" t="e">
        <f t="shared" si="16"/>
        <v>#REF!</v>
      </c>
      <c r="R87" s="40" t="e">
        <f t="shared" si="17"/>
        <v>#REF!</v>
      </c>
      <c r="S87" s="40" t="e">
        <f t="shared" si="18"/>
        <v>#REF!</v>
      </c>
      <c r="T87" s="40" t="e">
        <f t="shared" si="21"/>
        <v>#REF!</v>
      </c>
      <c r="U87" s="39" t="e">
        <f t="shared" si="11"/>
        <v>#REF!</v>
      </c>
      <c r="V87" s="139" t="e">
        <f t="shared" si="19"/>
        <v>#REF!</v>
      </c>
    </row>
    <row r="88" spans="1:22">
      <c r="A88" s="196" t="s">
        <v>136</v>
      </c>
      <c r="B88" s="175" t="e">
        <f>MAX(Q8:Q330)</f>
        <v>#REF!</v>
      </c>
      <c r="C88" s="176" t="s">
        <v>137</v>
      </c>
      <c r="D88" s="84"/>
      <c r="E88" s="10"/>
      <c r="F88" s="84"/>
      <c r="G88" s="84"/>
      <c r="H88" s="84"/>
      <c r="I88" s="84"/>
      <c r="J88" s="84"/>
      <c r="K88" s="84"/>
      <c r="L88" s="5"/>
      <c r="M88" s="38">
        <f t="shared" si="20"/>
        <v>7.7999999999999883</v>
      </c>
      <c r="N88" s="39" t="e">
        <f t="shared" si="13"/>
        <v>#REF!</v>
      </c>
      <c r="O88" s="39" t="e">
        <f t="shared" si="14"/>
        <v>#REF!</v>
      </c>
      <c r="P88" s="39" t="e">
        <f t="shared" si="15"/>
        <v>#REF!</v>
      </c>
      <c r="Q88" s="39" t="e">
        <f t="shared" si="16"/>
        <v>#REF!</v>
      </c>
      <c r="R88" s="40" t="e">
        <f t="shared" si="17"/>
        <v>#REF!</v>
      </c>
      <c r="S88" s="40" t="e">
        <f t="shared" si="18"/>
        <v>#REF!</v>
      </c>
      <c r="T88" s="40" t="e">
        <f t="shared" si="21"/>
        <v>#REF!</v>
      </c>
      <c r="U88" s="39" t="e">
        <f t="shared" si="11"/>
        <v>#REF!</v>
      </c>
      <c r="V88" s="139" t="e">
        <f t="shared" si="19"/>
        <v>#REF!</v>
      </c>
    </row>
    <row r="89" spans="1:22">
      <c r="A89" s="52"/>
      <c r="B89" s="84"/>
      <c r="C89" s="84"/>
      <c r="D89" s="84"/>
      <c r="E89" s="10"/>
      <c r="F89" s="84"/>
      <c r="G89" s="84"/>
      <c r="H89" s="84"/>
      <c r="I89" s="84"/>
      <c r="J89" s="84"/>
      <c r="K89" s="84"/>
      <c r="L89" s="5"/>
      <c r="M89" s="38">
        <f t="shared" si="20"/>
        <v>7.8999999999999879</v>
      </c>
      <c r="N89" s="39" t="e">
        <f t="shared" si="13"/>
        <v>#REF!</v>
      </c>
      <c r="O89" s="39" t="e">
        <f t="shared" si="14"/>
        <v>#REF!</v>
      </c>
      <c r="P89" s="39" t="e">
        <f t="shared" si="15"/>
        <v>#REF!</v>
      </c>
      <c r="Q89" s="39" t="e">
        <f t="shared" si="16"/>
        <v>#REF!</v>
      </c>
      <c r="R89" s="40" t="e">
        <f t="shared" si="17"/>
        <v>#REF!</v>
      </c>
      <c r="S89" s="40" t="e">
        <f t="shared" si="18"/>
        <v>#REF!</v>
      </c>
      <c r="T89" s="40" t="e">
        <f t="shared" si="21"/>
        <v>#REF!</v>
      </c>
      <c r="U89" s="39" t="e">
        <f t="shared" si="11"/>
        <v>#REF!</v>
      </c>
      <c r="V89" s="139" t="e">
        <f t="shared" si="19"/>
        <v>#REF!</v>
      </c>
    </row>
    <row r="90" spans="1:22">
      <c r="A90" s="52"/>
      <c r="B90" s="84"/>
      <c r="C90" s="84"/>
      <c r="D90" s="84"/>
      <c r="E90" s="10"/>
      <c r="F90" s="84"/>
      <c r="G90" s="84"/>
      <c r="H90" s="84"/>
      <c r="I90" s="84"/>
      <c r="J90" s="84"/>
      <c r="K90" s="84"/>
      <c r="L90" s="5"/>
      <c r="M90" s="38">
        <f t="shared" si="20"/>
        <v>7.9999999999999876</v>
      </c>
      <c r="N90" s="39" t="e">
        <f t="shared" si="13"/>
        <v>#REF!</v>
      </c>
      <c r="O90" s="39" t="e">
        <f t="shared" si="14"/>
        <v>#REF!</v>
      </c>
      <c r="P90" s="39" t="e">
        <f t="shared" si="15"/>
        <v>#REF!</v>
      </c>
      <c r="Q90" s="39" t="e">
        <f t="shared" si="16"/>
        <v>#REF!</v>
      </c>
      <c r="R90" s="40" t="e">
        <f t="shared" si="17"/>
        <v>#REF!</v>
      </c>
      <c r="S90" s="40" t="e">
        <f t="shared" si="18"/>
        <v>#REF!</v>
      </c>
      <c r="T90" s="40" t="e">
        <f t="shared" si="21"/>
        <v>#REF!</v>
      </c>
      <c r="U90" s="39" t="e">
        <f t="shared" si="11"/>
        <v>#REF!</v>
      </c>
      <c r="V90" s="139" t="e">
        <f t="shared" si="19"/>
        <v>#REF!</v>
      </c>
    </row>
    <row r="91" spans="1:22">
      <c r="A91" s="52"/>
      <c r="B91" s="84"/>
      <c r="C91" s="84"/>
      <c r="D91" s="84"/>
      <c r="E91" s="10"/>
      <c r="F91" s="84"/>
      <c r="G91" s="84"/>
      <c r="H91" s="84"/>
      <c r="I91" s="84"/>
      <c r="J91" s="84"/>
      <c r="K91" s="84"/>
      <c r="L91" s="5"/>
      <c r="M91" s="38">
        <f t="shared" si="20"/>
        <v>8.0999999999999872</v>
      </c>
      <c r="N91" s="39" t="e">
        <f t="shared" si="13"/>
        <v>#REF!</v>
      </c>
      <c r="O91" s="39" t="e">
        <f t="shared" si="14"/>
        <v>#REF!</v>
      </c>
      <c r="P91" s="39" t="e">
        <f t="shared" si="15"/>
        <v>#REF!</v>
      </c>
      <c r="Q91" s="39" t="e">
        <f t="shared" si="16"/>
        <v>#REF!</v>
      </c>
      <c r="R91" s="40" t="e">
        <f t="shared" si="17"/>
        <v>#REF!</v>
      </c>
      <c r="S91" s="40" t="e">
        <f t="shared" si="18"/>
        <v>#REF!</v>
      </c>
      <c r="T91" s="40" t="e">
        <f t="shared" si="21"/>
        <v>#REF!</v>
      </c>
      <c r="U91" s="39" t="e">
        <f t="shared" si="11"/>
        <v>#REF!</v>
      </c>
      <c r="V91" s="139" t="e">
        <f t="shared" si="19"/>
        <v>#REF!</v>
      </c>
    </row>
    <row r="92" spans="1:22">
      <c r="A92" s="52"/>
      <c r="B92" s="84"/>
      <c r="C92" s="84"/>
      <c r="D92" s="84"/>
      <c r="E92" s="10"/>
      <c r="F92" s="84"/>
      <c r="G92" s="84"/>
      <c r="H92" s="84"/>
      <c r="I92" s="84"/>
      <c r="J92" s="84"/>
      <c r="K92" s="84"/>
      <c r="L92" s="5"/>
      <c r="M92" s="38">
        <f t="shared" si="20"/>
        <v>8.1999999999999869</v>
      </c>
      <c r="N92" s="39" t="e">
        <f t="shared" si="13"/>
        <v>#REF!</v>
      </c>
      <c r="O92" s="39" t="e">
        <f t="shared" si="14"/>
        <v>#REF!</v>
      </c>
      <c r="P92" s="39" t="e">
        <f t="shared" si="15"/>
        <v>#REF!</v>
      </c>
      <c r="Q92" s="39" t="e">
        <f t="shared" si="16"/>
        <v>#REF!</v>
      </c>
      <c r="R92" s="40" t="e">
        <f t="shared" si="17"/>
        <v>#REF!</v>
      </c>
      <c r="S92" s="40" t="e">
        <f t="shared" si="18"/>
        <v>#REF!</v>
      </c>
      <c r="T92" s="40" t="e">
        <f t="shared" si="21"/>
        <v>#REF!</v>
      </c>
      <c r="U92" s="39" t="e">
        <f t="shared" si="11"/>
        <v>#REF!</v>
      </c>
      <c r="V92" s="139" t="e">
        <f t="shared" si="19"/>
        <v>#REF!</v>
      </c>
    </row>
    <row r="93" spans="1:22">
      <c r="A93" s="52"/>
      <c r="B93" s="84"/>
      <c r="C93" s="84"/>
      <c r="D93" s="84"/>
      <c r="E93" s="10"/>
      <c r="F93" s="84"/>
      <c r="G93" s="84"/>
      <c r="H93" s="84"/>
      <c r="I93" s="84"/>
      <c r="J93" s="84"/>
      <c r="K93" s="84"/>
      <c r="L93" s="5"/>
      <c r="M93" s="38">
        <f t="shared" si="20"/>
        <v>8.2999999999999865</v>
      </c>
      <c r="N93" s="39" t="e">
        <f t="shared" si="13"/>
        <v>#REF!</v>
      </c>
      <c r="O93" s="39" t="e">
        <f t="shared" si="14"/>
        <v>#REF!</v>
      </c>
      <c r="P93" s="39" t="e">
        <f t="shared" si="15"/>
        <v>#REF!</v>
      </c>
      <c r="Q93" s="39" t="e">
        <f t="shared" si="16"/>
        <v>#REF!</v>
      </c>
      <c r="R93" s="40" t="e">
        <f t="shared" si="17"/>
        <v>#REF!</v>
      </c>
      <c r="S93" s="40" t="e">
        <f t="shared" si="18"/>
        <v>#REF!</v>
      </c>
      <c r="T93" s="40" t="e">
        <f t="shared" si="21"/>
        <v>#REF!</v>
      </c>
      <c r="U93" s="39" t="e">
        <f t="shared" si="11"/>
        <v>#REF!</v>
      </c>
      <c r="V93" s="139" t="e">
        <f t="shared" si="19"/>
        <v>#REF!</v>
      </c>
    </row>
    <row r="94" spans="1:22">
      <c r="A94" s="52"/>
      <c r="B94" s="84"/>
      <c r="C94" s="84"/>
      <c r="D94" s="84"/>
      <c r="E94" s="10"/>
      <c r="F94" s="84"/>
      <c r="G94" s="84"/>
      <c r="H94" s="84"/>
      <c r="I94" s="84"/>
      <c r="J94" s="84"/>
      <c r="K94" s="84"/>
      <c r="L94" s="5"/>
      <c r="M94" s="38">
        <f t="shared" si="20"/>
        <v>8.3999999999999861</v>
      </c>
      <c r="N94" s="39" t="e">
        <f t="shared" si="13"/>
        <v>#REF!</v>
      </c>
      <c r="O94" s="39" t="e">
        <f t="shared" si="14"/>
        <v>#REF!</v>
      </c>
      <c r="P94" s="39" t="e">
        <f t="shared" si="15"/>
        <v>#REF!</v>
      </c>
      <c r="Q94" s="39" t="e">
        <f t="shared" si="16"/>
        <v>#REF!</v>
      </c>
      <c r="R94" s="40" t="e">
        <f t="shared" si="17"/>
        <v>#REF!</v>
      </c>
      <c r="S94" s="40" t="e">
        <f t="shared" si="18"/>
        <v>#REF!</v>
      </c>
      <c r="T94" s="40" t="e">
        <f t="shared" si="21"/>
        <v>#REF!</v>
      </c>
      <c r="U94" s="39" t="e">
        <f t="shared" si="11"/>
        <v>#REF!</v>
      </c>
      <c r="V94" s="139" t="e">
        <f t="shared" si="19"/>
        <v>#REF!</v>
      </c>
    </row>
    <row r="95" spans="1:22">
      <c r="A95" s="52"/>
      <c r="B95" s="84"/>
      <c r="C95" s="84"/>
      <c r="D95" s="84"/>
      <c r="E95" s="10"/>
      <c r="F95" s="84"/>
      <c r="G95" s="84"/>
      <c r="H95" s="84"/>
      <c r="I95" s="84"/>
      <c r="J95" s="84"/>
      <c r="K95" s="84"/>
      <c r="L95" s="5"/>
      <c r="M95" s="38">
        <f t="shared" si="20"/>
        <v>8.4999999999999858</v>
      </c>
      <c r="N95" s="39" t="e">
        <f t="shared" si="13"/>
        <v>#REF!</v>
      </c>
      <c r="O95" s="39" t="e">
        <f t="shared" si="14"/>
        <v>#REF!</v>
      </c>
      <c r="P95" s="39" t="e">
        <f t="shared" si="15"/>
        <v>#REF!</v>
      </c>
      <c r="Q95" s="39" t="e">
        <f t="shared" si="16"/>
        <v>#REF!</v>
      </c>
      <c r="R95" s="40" t="e">
        <f t="shared" si="17"/>
        <v>#REF!</v>
      </c>
      <c r="S95" s="40" t="e">
        <f t="shared" si="18"/>
        <v>#REF!</v>
      </c>
      <c r="T95" s="40" t="e">
        <f t="shared" si="21"/>
        <v>#REF!</v>
      </c>
      <c r="U95" s="39" t="e">
        <f t="shared" si="11"/>
        <v>#REF!</v>
      </c>
      <c r="V95" s="139" t="e">
        <f t="shared" si="19"/>
        <v>#REF!</v>
      </c>
    </row>
    <row r="96" spans="1:22">
      <c r="A96" s="52"/>
      <c r="B96" s="84"/>
      <c r="C96" s="84"/>
      <c r="D96" s="84"/>
      <c r="E96" s="10"/>
      <c r="F96" s="84"/>
      <c r="G96" s="84"/>
      <c r="H96" s="84"/>
      <c r="I96" s="84"/>
      <c r="J96" s="84"/>
      <c r="K96" s="84"/>
      <c r="L96" s="5"/>
      <c r="M96" s="38">
        <f t="shared" si="20"/>
        <v>8.5999999999999854</v>
      </c>
      <c r="N96" s="39" t="e">
        <f t="shared" si="13"/>
        <v>#REF!</v>
      </c>
      <c r="O96" s="39" t="e">
        <f t="shared" si="14"/>
        <v>#REF!</v>
      </c>
      <c r="P96" s="39" t="e">
        <f t="shared" si="15"/>
        <v>#REF!</v>
      </c>
      <c r="Q96" s="39" t="e">
        <f t="shared" si="16"/>
        <v>#REF!</v>
      </c>
      <c r="R96" s="40" t="e">
        <f t="shared" si="17"/>
        <v>#REF!</v>
      </c>
      <c r="S96" s="40" t="e">
        <f t="shared" si="18"/>
        <v>#REF!</v>
      </c>
      <c r="T96" s="40" t="e">
        <f t="shared" si="21"/>
        <v>#REF!</v>
      </c>
      <c r="U96" s="39" t="e">
        <f t="shared" si="11"/>
        <v>#REF!</v>
      </c>
      <c r="V96" s="139" t="e">
        <f t="shared" si="19"/>
        <v>#REF!</v>
      </c>
    </row>
    <row r="97" spans="1:22">
      <c r="A97" s="52"/>
      <c r="B97" s="84"/>
      <c r="C97" s="84"/>
      <c r="D97" s="84"/>
      <c r="E97" s="10"/>
      <c r="F97" s="84"/>
      <c r="G97" s="84"/>
      <c r="H97" s="84"/>
      <c r="I97" s="84"/>
      <c r="J97" s="84"/>
      <c r="K97" s="84"/>
      <c r="L97" s="5"/>
      <c r="M97" s="38">
        <f t="shared" si="20"/>
        <v>8.6999999999999851</v>
      </c>
      <c r="N97" s="39" t="e">
        <f t="shared" si="13"/>
        <v>#REF!</v>
      </c>
      <c r="O97" s="39" t="e">
        <f t="shared" si="14"/>
        <v>#REF!</v>
      </c>
      <c r="P97" s="39" t="e">
        <f t="shared" si="15"/>
        <v>#REF!</v>
      </c>
      <c r="Q97" s="39" t="e">
        <f t="shared" si="16"/>
        <v>#REF!</v>
      </c>
      <c r="R97" s="40" t="e">
        <f t="shared" si="17"/>
        <v>#REF!</v>
      </c>
      <c r="S97" s="40" t="e">
        <f t="shared" si="18"/>
        <v>#REF!</v>
      </c>
      <c r="T97" s="40" t="e">
        <f t="shared" si="21"/>
        <v>#REF!</v>
      </c>
      <c r="U97" s="39" t="e">
        <f t="shared" si="11"/>
        <v>#REF!</v>
      </c>
      <c r="V97" s="139" t="e">
        <f t="shared" si="19"/>
        <v>#REF!</v>
      </c>
    </row>
    <row r="98" spans="1:22">
      <c r="A98" s="52"/>
      <c r="B98" s="84"/>
      <c r="C98" s="84"/>
      <c r="D98" s="84"/>
      <c r="E98" s="10"/>
      <c r="F98" s="84"/>
      <c r="G98" s="84"/>
      <c r="H98" s="84"/>
      <c r="I98" s="84"/>
      <c r="J98" s="84"/>
      <c r="K98" s="84"/>
      <c r="L98" s="5"/>
      <c r="M98" s="38">
        <f t="shared" si="20"/>
        <v>8.7999999999999847</v>
      </c>
      <c r="N98" s="39" t="e">
        <f t="shared" si="13"/>
        <v>#REF!</v>
      </c>
      <c r="O98" s="39" t="e">
        <f t="shared" si="14"/>
        <v>#REF!</v>
      </c>
      <c r="P98" s="39" t="e">
        <f t="shared" si="15"/>
        <v>#REF!</v>
      </c>
      <c r="Q98" s="39" t="e">
        <f t="shared" si="16"/>
        <v>#REF!</v>
      </c>
      <c r="R98" s="40" t="e">
        <f t="shared" si="17"/>
        <v>#REF!</v>
      </c>
      <c r="S98" s="40" t="e">
        <f t="shared" si="18"/>
        <v>#REF!</v>
      </c>
      <c r="T98" s="40" t="e">
        <f t="shared" si="21"/>
        <v>#REF!</v>
      </c>
      <c r="U98" s="39" t="e">
        <f t="shared" si="11"/>
        <v>#REF!</v>
      </c>
      <c r="V98" s="139" t="e">
        <f t="shared" si="19"/>
        <v>#REF!</v>
      </c>
    </row>
    <row r="99" spans="1:22">
      <c r="A99" s="52"/>
      <c r="B99" s="84"/>
      <c r="C99" s="84"/>
      <c r="D99" s="84"/>
      <c r="E99" s="10"/>
      <c r="F99" s="84"/>
      <c r="G99" s="84"/>
      <c r="H99" s="84"/>
      <c r="I99" s="84"/>
      <c r="J99" s="84"/>
      <c r="K99" s="84"/>
      <c r="L99" s="5"/>
      <c r="M99" s="38">
        <f t="shared" si="20"/>
        <v>8.8999999999999844</v>
      </c>
      <c r="N99" s="39" t="e">
        <f t="shared" si="13"/>
        <v>#REF!</v>
      </c>
      <c r="O99" s="39" t="e">
        <f t="shared" si="14"/>
        <v>#REF!</v>
      </c>
      <c r="P99" s="39" t="e">
        <f t="shared" si="15"/>
        <v>#REF!</v>
      </c>
      <c r="Q99" s="39" t="e">
        <f t="shared" si="16"/>
        <v>#REF!</v>
      </c>
      <c r="R99" s="40" t="e">
        <f t="shared" si="17"/>
        <v>#REF!</v>
      </c>
      <c r="S99" s="40" t="e">
        <f t="shared" si="18"/>
        <v>#REF!</v>
      </c>
      <c r="T99" s="40" t="e">
        <f t="shared" si="21"/>
        <v>#REF!</v>
      </c>
      <c r="U99" s="39" t="e">
        <f t="shared" si="11"/>
        <v>#REF!</v>
      </c>
      <c r="V99" s="139" t="e">
        <f t="shared" si="19"/>
        <v>#REF!</v>
      </c>
    </row>
    <row r="100" spans="1:22">
      <c r="A100" s="52"/>
      <c r="B100" s="84"/>
      <c r="C100" s="84"/>
      <c r="D100" s="84"/>
      <c r="E100" s="10"/>
      <c r="F100" s="84"/>
      <c r="G100" s="84"/>
      <c r="H100" s="84"/>
      <c r="I100" s="84"/>
      <c r="J100" s="84"/>
      <c r="K100" s="84"/>
      <c r="L100" s="5"/>
      <c r="M100" s="38">
        <f t="shared" si="20"/>
        <v>8.999999999999984</v>
      </c>
      <c r="N100" s="39" t="e">
        <f t="shared" si="13"/>
        <v>#REF!</v>
      </c>
      <c r="O100" s="39" t="e">
        <f t="shared" si="14"/>
        <v>#REF!</v>
      </c>
      <c r="P100" s="39" t="e">
        <f t="shared" si="15"/>
        <v>#REF!</v>
      </c>
      <c r="Q100" s="39" t="e">
        <f t="shared" si="16"/>
        <v>#REF!</v>
      </c>
      <c r="R100" s="40" t="e">
        <f t="shared" si="17"/>
        <v>#REF!</v>
      </c>
      <c r="S100" s="40" t="e">
        <f t="shared" si="18"/>
        <v>#REF!</v>
      </c>
      <c r="T100" s="40" t="e">
        <f t="shared" si="21"/>
        <v>#REF!</v>
      </c>
      <c r="U100" s="39" t="e">
        <f t="shared" si="11"/>
        <v>#REF!</v>
      </c>
      <c r="V100" s="139" t="e">
        <f t="shared" si="19"/>
        <v>#REF!</v>
      </c>
    </row>
    <row r="101" spans="1:22">
      <c r="A101" s="52"/>
      <c r="B101" s="84"/>
      <c r="C101" s="84"/>
      <c r="D101" s="84"/>
      <c r="E101" s="10"/>
      <c r="F101" s="84"/>
      <c r="G101" s="84"/>
      <c r="H101" s="84"/>
      <c r="I101" s="84"/>
      <c r="J101" s="84"/>
      <c r="K101" s="84"/>
      <c r="L101" s="5"/>
      <c r="M101" s="38">
        <f t="shared" si="20"/>
        <v>9.0999999999999837</v>
      </c>
      <c r="N101" s="39" t="e">
        <f t="shared" si="13"/>
        <v>#REF!</v>
      </c>
      <c r="O101" s="39" t="e">
        <f t="shared" si="14"/>
        <v>#REF!</v>
      </c>
      <c r="P101" s="39" t="e">
        <f t="shared" si="15"/>
        <v>#REF!</v>
      </c>
      <c r="Q101" s="39" t="e">
        <f t="shared" si="16"/>
        <v>#REF!</v>
      </c>
      <c r="R101" s="40" t="e">
        <f t="shared" si="17"/>
        <v>#REF!</v>
      </c>
      <c r="S101" s="40" t="e">
        <f t="shared" si="18"/>
        <v>#REF!</v>
      </c>
      <c r="T101" s="40" t="e">
        <f t="shared" si="21"/>
        <v>#REF!</v>
      </c>
      <c r="U101" s="39" t="e">
        <f t="shared" si="11"/>
        <v>#REF!</v>
      </c>
      <c r="V101" s="139" t="e">
        <f t="shared" si="19"/>
        <v>#REF!</v>
      </c>
    </row>
    <row r="102" spans="1:22">
      <c r="A102" s="52"/>
      <c r="B102" s="84"/>
      <c r="C102" s="84"/>
      <c r="D102" s="84"/>
      <c r="E102" s="10"/>
      <c r="F102" s="84"/>
      <c r="G102" s="84"/>
      <c r="H102" s="84"/>
      <c r="I102" s="84"/>
      <c r="J102" s="84"/>
      <c r="K102" s="84"/>
      <c r="L102" s="5"/>
      <c r="M102" s="38">
        <f t="shared" si="20"/>
        <v>9.1999999999999833</v>
      </c>
      <c r="N102" s="39" t="e">
        <f t="shared" si="13"/>
        <v>#REF!</v>
      </c>
      <c r="O102" s="39" t="e">
        <f t="shared" si="14"/>
        <v>#REF!</v>
      </c>
      <c r="P102" s="39" t="e">
        <f t="shared" si="15"/>
        <v>#REF!</v>
      </c>
      <c r="Q102" s="39" t="e">
        <f t="shared" si="16"/>
        <v>#REF!</v>
      </c>
      <c r="R102" s="40" t="e">
        <f t="shared" si="17"/>
        <v>#REF!</v>
      </c>
      <c r="S102" s="40" t="e">
        <f t="shared" si="18"/>
        <v>#REF!</v>
      </c>
      <c r="T102" s="40" t="e">
        <f t="shared" si="21"/>
        <v>#REF!</v>
      </c>
      <c r="U102" s="39" t="e">
        <f t="shared" si="11"/>
        <v>#REF!</v>
      </c>
      <c r="V102" s="139" t="e">
        <f t="shared" si="19"/>
        <v>#REF!</v>
      </c>
    </row>
    <row r="103" spans="1:22">
      <c r="A103" s="52"/>
      <c r="B103" s="84"/>
      <c r="C103" s="84"/>
      <c r="D103" s="84"/>
      <c r="E103" s="10"/>
      <c r="F103" s="84"/>
      <c r="G103" s="84"/>
      <c r="H103" s="84"/>
      <c r="I103" s="84"/>
      <c r="J103" s="84"/>
      <c r="K103" s="84"/>
      <c r="L103" s="5"/>
      <c r="M103" s="38">
        <f t="shared" si="20"/>
        <v>9.2999999999999829</v>
      </c>
      <c r="N103" s="39" t="e">
        <f t="shared" si="13"/>
        <v>#REF!</v>
      </c>
      <c r="O103" s="39" t="e">
        <f t="shared" si="14"/>
        <v>#REF!</v>
      </c>
      <c r="P103" s="39" t="e">
        <f t="shared" si="15"/>
        <v>#REF!</v>
      </c>
      <c r="Q103" s="39" t="e">
        <f t="shared" si="16"/>
        <v>#REF!</v>
      </c>
      <c r="R103" s="40" t="e">
        <f t="shared" si="17"/>
        <v>#REF!</v>
      </c>
      <c r="S103" s="40" t="e">
        <f t="shared" si="18"/>
        <v>#REF!</v>
      </c>
      <c r="T103" s="40" t="e">
        <f t="shared" si="21"/>
        <v>#REF!</v>
      </c>
      <c r="U103" s="39" t="e">
        <f t="shared" si="11"/>
        <v>#REF!</v>
      </c>
      <c r="V103" s="139" t="e">
        <f t="shared" si="19"/>
        <v>#REF!</v>
      </c>
    </row>
    <row r="104" spans="1:22">
      <c r="A104" s="52"/>
      <c r="B104" s="84"/>
      <c r="C104" s="84"/>
      <c r="D104" s="84"/>
      <c r="E104" s="10"/>
      <c r="F104" s="84"/>
      <c r="G104" s="84"/>
      <c r="H104" s="84"/>
      <c r="I104" s="84"/>
      <c r="J104" s="84"/>
      <c r="K104" s="84"/>
      <c r="L104" s="5"/>
      <c r="M104" s="38">
        <f t="shared" si="20"/>
        <v>9.3999999999999826</v>
      </c>
      <c r="N104" s="39" t="e">
        <f t="shared" si="13"/>
        <v>#REF!</v>
      </c>
      <c r="O104" s="39" t="e">
        <f t="shared" si="14"/>
        <v>#REF!</v>
      </c>
      <c r="P104" s="39" t="e">
        <f t="shared" si="15"/>
        <v>#REF!</v>
      </c>
      <c r="Q104" s="39" t="e">
        <f t="shared" si="16"/>
        <v>#REF!</v>
      </c>
      <c r="R104" s="40" t="e">
        <f t="shared" si="17"/>
        <v>#REF!</v>
      </c>
      <c r="S104" s="40" t="e">
        <f t="shared" si="18"/>
        <v>#REF!</v>
      </c>
      <c r="T104" s="40" t="e">
        <f t="shared" si="21"/>
        <v>#REF!</v>
      </c>
      <c r="U104" s="39" t="e">
        <f t="shared" si="11"/>
        <v>#REF!</v>
      </c>
      <c r="V104" s="139" t="e">
        <f t="shared" si="19"/>
        <v>#REF!</v>
      </c>
    </row>
    <row r="105" spans="1:22">
      <c r="A105" s="52"/>
      <c r="B105" s="84"/>
      <c r="C105" s="84"/>
      <c r="D105" s="84"/>
      <c r="E105" s="10"/>
      <c r="F105" s="84"/>
      <c r="G105" s="84"/>
      <c r="H105" s="84"/>
      <c r="I105" s="84"/>
      <c r="J105" s="84"/>
      <c r="K105" s="84"/>
      <c r="L105" s="5"/>
      <c r="M105" s="38">
        <f t="shared" si="20"/>
        <v>9.4999999999999822</v>
      </c>
      <c r="N105" s="39" t="e">
        <f t="shared" si="13"/>
        <v>#REF!</v>
      </c>
      <c r="O105" s="39" t="e">
        <f t="shared" si="14"/>
        <v>#REF!</v>
      </c>
      <c r="P105" s="39" t="e">
        <f t="shared" si="15"/>
        <v>#REF!</v>
      </c>
      <c r="Q105" s="39" t="e">
        <f t="shared" si="16"/>
        <v>#REF!</v>
      </c>
      <c r="R105" s="40" t="e">
        <f t="shared" si="17"/>
        <v>#REF!</v>
      </c>
      <c r="S105" s="40" t="e">
        <f t="shared" si="18"/>
        <v>#REF!</v>
      </c>
      <c r="T105" s="40" t="e">
        <f t="shared" si="21"/>
        <v>#REF!</v>
      </c>
      <c r="U105" s="39" t="e">
        <f t="shared" si="11"/>
        <v>#REF!</v>
      </c>
      <c r="V105" s="139" t="e">
        <f t="shared" si="19"/>
        <v>#REF!</v>
      </c>
    </row>
    <row r="106" spans="1:22">
      <c r="A106" s="52"/>
      <c r="B106" s="84"/>
      <c r="C106" s="84"/>
      <c r="D106" s="84"/>
      <c r="E106" s="10"/>
      <c r="F106" s="84"/>
      <c r="G106" s="84"/>
      <c r="H106" s="84"/>
      <c r="I106" s="84"/>
      <c r="J106" s="84"/>
      <c r="K106" s="84"/>
      <c r="L106" s="5"/>
      <c r="M106" s="38">
        <f t="shared" si="20"/>
        <v>9.5999999999999819</v>
      </c>
      <c r="N106" s="39" t="e">
        <f t="shared" si="13"/>
        <v>#REF!</v>
      </c>
      <c r="O106" s="39" t="e">
        <f t="shared" si="14"/>
        <v>#REF!</v>
      </c>
      <c r="P106" s="39" t="e">
        <f t="shared" si="15"/>
        <v>#REF!</v>
      </c>
      <c r="Q106" s="39" t="e">
        <f t="shared" si="16"/>
        <v>#REF!</v>
      </c>
      <c r="R106" s="40" t="e">
        <f t="shared" si="17"/>
        <v>#REF!</v>
      </c>
      <c r="S106" s="40" t="e">
        <f t="shared" si="18"/>
        <v>#REF!</v>
      </c>
      <c r="T106" s="40" t="e">
        <f t="shared" si="21"/>
        <v>#REF!</v>
      </c>
      <c r="U106" s="39" t="e">
        <f t="shared" si="11"/>
        <v>#REF!</v>
      </c>
      <c r="V106" s="139" t="e">
        <f t="shared" si="19"/>
        <v>#REF!</v>
      </c>
    </row>
    <row r="107" spans="1:22">
      <c r="A107" s="52"/>
      <c r="B107" s="84"/>
      <c r="C107" s="84"/>
      <c r="D107" s="84"/>
      <c r="E107" s="10"/>
      <c r="F107" s="84"/>
      <c r="G107" s="84"/>
      <c r="H107" s="84"/>
      <c r="I107" s="84"/>
      <c r="J107" s="84"/>
      <c r="K107" s="84"/>
      <c r="L107" s="5"/>
      <c r="M107" s="38">
        <f t="shared" si="20"/>
        <v>9.6999999999999815</v>
      </c>
      <c r="N107" s="39" t="e">
        <f t="shared" si="13"/>
        <v>#REF!</v>
      </c>
      <c r="O107" s="39" t="e">
        <f t="shared" si="14"/>
        <v>#REF!</v>
      </c>
      <c r="P107" s="39" t="e">
        <f t="shared" si="15"/>
        <v>#REF!</v>
      </c>
      <c r="Q107" s="39" t="e">
        <f t="shared" si="16"/>
        <v>#REF!</v>
      </c>
      <c r="R107" s="40" t="e">
        <f t="shared" si="17"/>
        <v>#REF!</v>
      </c>
      <c r="S107" s="40" t="e">
        <f t="shared" si="18"/>
        <v>#REF!</v>
      </c>
      <c r="T107" s="40" t="e">
        <f t="shared" si="21"/>
        <v>#REF!</v>
      </c>
      <c r="U107" s="39" t="e">
        <f t="shared" si="11"/>
        <v>#REF!</v>
      </c>
      <c r="V107" s="139" t="e">
        <f t="shared" si="19"/>
        <v>#REF!</v>
      </c>
    </row>
    <row r="108" spans="1:22">
      <c r="A108" s="52"/>
      <c r="B108" s="84"/>
      <c r="C108" s="84"/>
      <c r="D108" s="84"/>
      <c r="E108" s="10"/>
      <c r="F108" s="84"/>
      <c r="G108" s="84"/>
      <c r="H108" s="84"/>
      <c r="I108" s="84"/>
      <c r="J108" s="84"/>
      <c r="K108" s="84"/>
      <c r="L108" s="5"/>
      <c r="M108" s="38">
        <f t="shared" si="20"/>
        <v>9.7999999999999812</v>
      </c>
      <c r="N108" s="39" t="e">
        <f t="shared" si="13"/>
        <v>#REF!</v>
      </c>
      <c r="O108" s="39" t="e">
        <f t="shared" si="14"/>
        <v>#REF!</v>
      </c>
      <c r="P108" s="39" t="e">
        <f t="shared" si="15"/>
        <v>#REF!</v>
      </c>
      <c r="Q108" s="39" t="e">
        <f t="shared" si="16"/>
        <v>#REF!</v>
      </c>
      <c r="R108" s="40" t="e">
        <f t="shared" si="17"/>
        <v>#REF!</v>
      </c>
      <c r="S108" s="40" t="e">
        <f t="shared" si="18"/>
        <v>#REF!</v>
      </c>
      <c r="T108" s="40" t="e">
        <f t="shared" si="21"/>
        <v>#REF!</v>
      </c>
      <c r="U108" s="39" t="e">
        <f t="shared" si="11"/>
        <v>#REF!</v>
      </c>
      <c r="V108" s="139" t="e">
        <f t="shared" si="19"/>
        <v>#REF!</v>
      </c>
    </row>
    <row r="109" spans="1:22">
      <c r="A109" s="52"/>
      <c r="B109" s="84"/>
      <c r="C109" s="84"/>
      <c r="D109" s="84"/>
      <c r="E109" s="10"/>
      <c r="F109" s="84"/>
      <c r="G109" s="84"/>
      <c r="H109" s="84"/>
      <c r="I109" s="84"/>
      <c r="J109" s="84"/>
      <c r="K109" s="84"/>
      <c r="L109" s="5"/>
      <c r="M109" s="38">
        <f t="shared" si="20"/>
        <v>9.8999999999999808</v>
      </c>
      <c r="N109" s="39" t="e">
        <f t="shared" si="13"/>
        <v>#REF!</v>
      </c>
      <c r="O109" s="39" t="e">
        <f t="shared" si="14"/>
        <v>#REF!</v>
      </c>
      <c r="P109" s="39" t="e">
        <f t="shared" si="15"/>
        <v>#REF!</v>
      </c>
      <c r="Q109" s="39" t="e">
        <f t="shared" si="16"/>
        <v>#REF!</v>
      </c>
      <c r="R109" s="40" t="e">
        <f t="shared" si="17"/>
        <v>#REF!</v>
      </c>
      <c r="S109" s="40" t="e">
        <f t="shared" si="18"/>
        <v>#REF!</v>
      </c>
      <c r="T109" s="40" t="e">
        <f t="shared" si="21"/>
        <v>#REF!</v>
      </c>
      <c r="U109" s="39" t="e">
        <f t="shared" si="11"/>
        <v>#REF!</v>
      </c>
      <c r="V109" s="139" t="e">
        <f t="shared" si="19"/>
        <v>#REF!</v>
      </c>
    </row>
    <row r="110" spans="1:22">
      <c r="A110" s="105"/>
      <c r="B110" s="86"/>
      <c r="C110" s="86"/>
      <c r="D110" s="86"/>
      <c r="E110" s="87"/>
      <c r="F110" s="86"/>
      <c r="G110" s="86"/>
      <c r="H110" s="86"/>
      <c r="I110" s="86"/>
      <c r="J110" s="86"/>
      <c r="K110" s="86"/>
      <c r="L110" s="5"/>
      <c r="M110" s="38">
        <f t="shared" si="20"/>
        <v>9.9999999999999805</v>
      </c>
      <c r="N110" s="39" t="e">
        <f t="shared" si="13"/>
        <v>#REF!</v>
      </c>
      <c r="O110" s="39" t="e">
        <f t="shared" si="14"/>
        <v>#REF!</v>
      </c>
      <c r="P110" s="39" t="e">
        <f t="shared" si="15"/>
        <v>#REF!</v>
      </c>
      <c r="Q110" s="39" t="e">
        <f t="shared" si="16"/>
        <v>#REF!</v>
      </c>
      <c r="R110" s="40" t="e">
        <f t="shared" si="17"/>
        <v>#REF!</v>
      </c>
      <c r="S110" s="40" t="e">
        <f t="shared" si="18"/>
        <v>#REF!</v>
      </c>
      <c r="T110" s="40" t="e">
        <f t="shared" si="21"/>
        <v>#REF!</v>
      </c>
      <c r="U110" s="39" t="e">
        <f t="shared" si="11"/>
        <v>#REF!</v>
      </c>
      <c r="V110" s="139" t="e">
        <f t="shared" si="19"/>
        <v>#REF!</v>
      </c>
    </row>
    <row r="111" spans="1:22">
      <c r="A111" s="88"/>
      <c r="B111" s="81"/>
      <c r="C111" s="81"/>
      <c r="D111" s="81"/>
      <c r="E111" s="89"/>
      <c r="F111" s="81"/>
      <c r="G111" s="81"/>
      <c r="H111" s="81"/>
      <c r="I111" s="81"/>
      <c r="J111" s="81"/>
      <c r="K111" s="81"/>
      <c r="L111" s="5"/>
      <c r="M111" s="38">
        <f t="shared" si="20"/>
        <v>10.09999999999998</v>
      </c>
      <c r="N111" s="39" t="e">
        <f t="shared" si="13"/>
        <v>#REF!</v>
      </c>
      <c r="O111" s="39" t="e">
        <f t="shared" si="14"/>
        <v>#REF!</v>
      </c>
      <c r="P111" s="39" t="e">
        <f t="shared" si="15"/>
        <v>#REF!</v>
      </c>
      <c r="Q111" s="39" t="e">
        <f t="shared" si="16"/>
        <v>#REF!</v>
      </c>
      <c r="R111" s="40" t="e">
        <f t="shared" si="17"/>
        <v>#REF!</v>
      </c>
      <c r="S111" s="40" t="e">
        <f t="shared" si="18"/>
        <v>#REF!</v>
      </c>
      <c r="T111" s="40" t="e">
        <f t="shared" si="21"/>
        <v>#REF!</v>
      </c>
      <c r="U111" s="39" t="e">
        <f t="shared" si="11"/>
        <v>#REF!</v>
      </c>
      <c r="V111" s="139" t="e">
        <f t="shared" si="19"/>
        <v>#REF!</v>
      </c>
    </row>
    <row r="112" spans="1:22" ht="18">
      <c r="A112" s="119" t="s">
        <v>138</v>
      </c>
      <c r="B112" s="84"/>
      <c r="C112" s="84"/>
      <c r="D112" s="84"/>
      <c r="E112" s="10"/>
      <c r="F112" s="84"/>
      <c r="G112" s="84"/>
      <c r="H112" s="84"/>
      <c r="I112" s="84"/>
      <c r="J112" s="84"/>
      <c r="K112" s="84"/>
      <c r="L112" s="5"/>
      <c r="M112" s="38">
        <f t="shared" si="20"/>
        <v>10.19999999999998</v>
      </c>
      <c r="N112" s="39" t="e">
        <f t="shared" si="13"/>
        <v>#REF!</v>
      </c>
      <c r="O112" s="39" t="e">
        <f t="shared" si="14"/>
        <v>#REF!</v>
      </c>
      <c r="P112" s="39" t="e">
        <f t="shared" si="15"/>
        <v>#REF!</v>
      </c>
      <c r="Q112" s="39" t="e">
        <f t="shared" si="16"/>
        <v>#REF!</v>
      </c>
      <c r="R112" s="40" t="e">
        <f t="shared" si="17"/>
        <v>#REF!</v>
      </c>
      <c r="S112" s="40" t="e">
        <f t="shared" si="18"/>
        <v>#REF!</v>
      </c>
      <c r="T112" s="40" t="e">
        <f t="shared" si="21"/>
        <v>#REF!</v>
      </c>
      <c r="U112" s="39" t="e">
        <f t="shared" si="11"/>
        <v>#REF!</v>
      </c>
      <c r="V112" s="139" t="e">
        <f t="shared" si="19"/>
        <v>#REF!</v>
      </c>
    </row>
    <row r="113" spans="1:22">
      <c r="A113" s="51"/>
      <c r="B113" s="2"/>
      <c r="C113" s="2"/>
      <c r="D113" s="2"/>
      <c r="E113" s="2"/>
      <c r="F113" s="84"/>
      <c r="G113" s="84"/>
      <c r="H113" s="84"/>
      <c r="I113" s="84"/>
      <c r="J113" s="84"/>
      <c r="K113" s="84"/>
      <c r="L113" s="5"/>
      <c r="M113" s="38">
        <f t="shared" si="20"/>
        <v>10.299999999999979</v>
      </c>
      <c r="N113" s="39" t="e">
        <f t="shared" si="13"/>
        <v>#REF!</v>
      </c>
      <c r="O113" s="39" t="e">
        <f t="shared" si="14"/>
        <v>#REF!</v>
      </c>
      <c r="P113" s="39" t="e">
        <f t="shared" si="15"/>
        <v>#REF!</v>
      </c>
      <c r="Q113" s="39" t="e">
        <f t="shared" si="16"/>
        <v>#REF!</v>
      </c>
      <c r="R113" s="40" t="e">
        <f t="shared" si="17"/>
        <v>#REF!</v>
      </c>
      <c r="S113" s="40" t="e">
        <f t="shared" si="18"/>
        <v>#REF!</v>
      </c>
      <c r="T113" s="40" t="e">
        <f t="shared" si="21"/>
        <v>#REF!</v>
      </c>
      <c r="U113" s="39" t="e">
        <f t="shared" si="11"/>
        <v>#REF!</v>
      </c>
      <c r="V113" s="139" t="e">
        <f t="shared" si="19"/>
        <v>#REF!</v>
      </c>
    </row>
    <row r="114" spans="1:22" ht="18">
      <c r="A114" s="119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30"/>
      <c r="M114" s="38">
        <f t="shared" si="20"/>
        <v>10.399999999999979</v>
      </c>
      <c r="N114" s="39" t="e">
        <f t="shared" si="13"/>
        <v>#REF!</v>
      </c>
      <c r="O114" s="39" t="e">
        <f t="shared" si="14"/>
        <v>#REF!</v>
      </c>
      <c r="P114" s="39" t="e">
        <f t="shared" si="15"/>
        <v>#REF!</v>
      </c>
      <c r="Q114" s="39" t="e">
        <f t="shared" si="16"/>
        <v>#REF!</v>
      </c>
      <c r="R114" s="40" t="e">
        <f t="shared" si="17"/>
        <v>#REF!</v>
      </c>
      <c r="S114" s="40" t="e">
        <f t="shared" si="18"/>
        <v>#REF!</v>
      </c>
      <c r="T114" s="40" t="e">
        <f t="shared" si="21"/>
        <v>#REF!</v>
      </c>
      <c r="U114" s="39" t="e">
        <f t="shared" si="11"/>
        <v>#REF!</v>
      </c>
      <c r="V114" s="139" t="e">
        <f t="shared" si="19"/>
        <v>#REF!</v>
      </c>
    </row>
    <row r="115" spans="1:22">
      <c r="A115" s="120"/>
      <c r="B115" s="7"/>
      <c r="C115" s="7"/>
      <c r="D115" s="7"/>
      <c r="E115" s="7"/>
      <c r="F115" s="84"/>
      <c r="G115" s="84"/>
      <c r="H115" s="84"/>
      <c r="I115" s="84"/>
      <c r="J115" s="84"/>
      <c r="K115" s="84"/>
      <c r="L115" s="30"/>
      <c r="M115" s="38">
        <f t="shared" si="20"/>
        <v>10.499999999999979</v>
      </c>
      <c r="N115" s="39" t="e">
        <f t="shared" si="13"/>
        <v>#REF!</v>
      </c>
      <c r="O115" s="39" t="e">
        <f t="shared" si="14"/>
        <v>#REF!</v>
      </c>
      <c r="P115" s="39" t="e">
        <f t="shared" si="15"/>
        <v>#REF!</v>
      </c>
      <c r="Q115" s="39" t="e">
        <f t="shared" si="16"/>
        <v>#REF!</v>
      </c>
      <c r="R115" s="40" t="e">
        <f t="shared" si="17"/>
        <v>#REF!</v>
      </c>
      <c r="S115" s="40" t="e">
        <f t="shared" si="18"/>
        <v>#REF!</v>
      </c>
      <c r="T115" s="40" t="e">
        <f t="shared" si="21"/>
        <v>#REF!</v>
      </c>
      <c r="U115" s="39" t="e">
        <f t="shared" si="11"/>
        <v>#REF!</v>
      </c>
      <c r="V115" s="139" t="e">
        <f t="shared" si="19"/>
        <v>#REF!</v>
      </c>
    </row>
    <row r="116" spans="1:22">
      <c r="A116" s="113" t="s">
        <v>139</v>
      </c>
      <c r="B116" s="114"/>
      <c r="C116" s="121" t="s">
        <v>140</v>
      </c>
      <c r="D116" s="177">
        <v>0</v>
      </c>
      <c r="E116" s="71" t="s">
        <v>141</v>
      </c>
      <c r="F116" s="10"/>
      <c r="G116" s="84"/>
      <c r="H116" s="84"/>
      <c r="I116" s="84"/>
      <c r="J116" s="84"/>
      <c r="K116" s="84"/>
      <c r="L116" s="30"/>
      <c r="M116" s="38">
        <f t="shared" si="20"/>
        <v>10.599999999999978</v>
      </c>
      <c r="N116" s="39" t="e">
        <f t="shared" si="13"/>
        <v>#REF!</v>
      </c>
      <c r="O116" s="39" t="e">
        <f t="shared" si="14"/>
        <v>#REF!</v>
      </c>
      <c r="P116" s="39" t="e">
        <f t="shared" si="15"/>
        <v>#REF!</v>
      </c>
      <c r="Q116" s="39" t="e">
        <f t="shared" si="16"/>
        <v>#REF!</v>
      </c>
      <c r="R116" s="40" t="e">
        <f t="shared" si="17"/>
        <v>#REF!</v>
      </c>
      <c r="S116" s="40" t="e">
        <f t="shared" si="18"/>
        <v>#REF!</v>
      </c>
      <c r="T116" s="40" t="e">
        <f t="shared" si="21"/>
        <v>#REF!</v>
      </c>
      <c r="U116" s="39" t="e">
        <f t="shared" si="11"/>
        <v>#REF!</v>
      </c>
      <c r="V116" s="139" t="e">
        <f t="shared" si="19"/>
        <v>#REF!</v>
      </c>
    </row>
    <row r="117" spans="1:22">
      <c r="A117" s="58" t="s">
        <v>142</v>
      </c>
      <c r="B117" s="117"/>
      <c r="C117" s="122" t="s">
        <v>143</v>
      </c>
      <c r="D117" s="178">
        <v>0</v>
      </c>
      <c r="E117" s="80" t="s">
        <v>141</v>
      </c>
      <c r="F117" s="10"/>
      <c r="G117" s="84"/>
      <c r="H117" s="84"/>
      <c r="I117" s="84"/>
      <c r="J117" s="84"/>
      <c r="K117" s="84"/>
      <c r="L117" s="30"/>
      <c r="M117" s="38">
        <f t="shared" si="20"/>
        <v>10.699999999999978</v>
      </c>
      <c r="N117" s="39" t="e">
        <f t="shared" si="13"/>
        <v>#REF!</v>
      </c>
      <c r="O117" s="39" t="e">
        <f t="shared" si="14"/>
        <v>#REF!</v>
      </c>
      <c r="P117" s="39" t="e">
        <f t="shared" si="15"/>
        <v>#REF!</v>
      </c>
      <c r="Q117" s="39" t="e">
        <f t="shared" si="16"/>
        <v>#REF!</v>
      </c>
      <c r="R117" s="40" t="e">
        <f t="shared" si="17"/>
        <v>#REF!</v>
      </c>
      <c r="S117" s="40" t="e">
        <f t="shared" si="18"/>
        <v>#REF!</v>
      </c>
      <c r="T117" s="40" t="e">
        <f t="shared" si="21"/>
        <v>#REF!</v>
      </c>
      <c r="U117" s="39" t="e">
        <f t="shared" si="11"/>
        <v>#REF!</v>
      </c>
      <c r="V117" s="139" t="e">
        <f t="shared" si="19"/>
        <v>#REF!</v>
      </c>
    </row>
    <row r="118" spans="1:22">
      <c r="A118" s="123"/>
      <c r="B118" s="56"/>
      <c r="C118" s="56"/>
      <c r="D118" s="56"/>
      <c r="E118" s="124"/>
      <c r="F118" s="84"/>
      <c r="G118" s="84"/>
      <c r="H118" s="84"/>
      <c r="I118" s="84"/>
      <c r="J118" s="84"/>
      <c r="K118" s="84"/>
      <c r="L118" s="30"/>
      <c r="M118" s="38">
        <f t="shared" si="20"/>
        <v>10.799999999999978</v>
      </c>
      <c r="N118" s="39" t="e">
        <f t="shared" si="13"/>
        <v>#REF!</v>
      </c>
      <c r="O118" s="39" t="e">
        <f t="shared" si="14"/>
        <v>#REF!</v>
      </c>
      <c r="P118" s="39" t="e">
        <f t="shared" si="15"/>
        <v>#REF!</v>
      </c>
      <c r="Q118" s="39" t="e">
        <f t="shared" si="16"/>
        <v>#REF!</v>
      </c>
      <c r="R118" s="40" t="e">
        <f t="shared" si="17"/>
        <v>#REF!</v>
      </c>
      <c r="S118" s="40" t="e">
        <f t="shared" si="18"/>
        <v>#REF!</v>
      </c>
      <c r="T118" s="40" t="e">
        <f t="shared" si="21"/>
        <v>#REF!</v>
      </c>
      <c r="U118" s="39" t="e">
        <f t="shared" si="11"/>
        <v>#REF!</v>
      </c>
      <c r="V118" s="139" t="e">
        <f t="shared" si="19"/>
        <v>#REF!</v>
      </c>
    </row>
    <row r="119" spans="1:22">
      <c r="A119" s="16" t="s">
        <v>144</v>
      </c>
      <c r="B119" s="114"/>
      <c r="C119" s="114"/>
      <c r="D119" s="71"/>
      <c r="E119" s="29"/>
      <c r="F119" s="84"/>
      <c r="G119" s="84"/>
      <c r="H119" s="84"/>
      <c r="I119" s="84"/>
      <c r="J119" s="84"/>
      <c r="K119" s="84"/>
      <c r="L119" s="5"/>
      <c r="M119" s="38">
        <f t="shared" si="20"/>
        <v>10.899999999999977</v>
      </c>
      <c r="N119" s="39" t="e">
        <f t="shared" si="13"/>
        <v>#REF!</v>
      </c>
      <c r="O119" s="39" t="e">
        <f t="shared" si="14"/>
        <v>#REF!</v>
      </c>
      <c r="P119" s="39" t="e">
        <f t="shared" si="15"/>
        <v>#REF!</v>
      </c>
      <c r="Q119" s="39" t="e">
        <f t="shared" si="16"/>
        <v>#REF!</v>
      </c>
      <c r="R119" s="40" t="e">
        <f t="shared" si="17"/>
        <v>#REF!</v>
      </c>
      <c r="S119" s="40" t="e">
        <f t="shared" si="18"/>
        <v>#REF!</v>
      </c>
      <c r="T119" s="40" t="e">
        <f t="shared" si="21"/>
        <v>#REF!</v>
      </c>
      <c r="U119" s="39" t="e">
        <f t="shared" si="11"/>
        <v>#REF!</v>
      </c>
      <c r="V119" s="139" t="e">
        <f t="shared" si="19"/>
        <v>#REF!</v>
      </c>
    </row>
    <row r="120" spans="1:22" ht="15.5">
      <c r="A120" s="26" t="s">
        <v>145</v>
      </c>
      <c r="B120" s="36"/>
      <c r="C120" s="36" t="s">
        <v>146</v>
      </c>
      <c r="D120" s="125">
        <f>IF(VReisezüge&lt;60,1,(1+(VReisezüge-60)/380))</f>
        <v>1</v>
      </c>
      <c r="E120" s="10"/>
      <c r="F120" s="84"/>
      <c r="G120" s="84"/>
      <c r="H120" s="84"/>
      <c r="I120" s="84"/>
      <c r="J120" s="84"/>
      <c r="K120" s="84"/>
      <c r="L120" s="126"/>
      <c r="M120" s="38">
        <f t="shared" si="20"/>
        <v>10.999999999999977</v>
      </c>
      <c r="N120" s="39" t="e">
        <f t="shared" si="13"/>
        <v>#REF!</v>
      </c>
      <c r="O120" s="39" t="e">
        <f t="shared" si="14"/>
        <v>#REF!</v>
      </c>
      <c r="P120" s="39" t="e">
        <f t="shared" si="15"/>
        <v>#REF!</v>
      </c>
      <c r="Q120" s="39" t="e">
        <f t="shared" si="16"/>
        <v>#REF!</v>
      </c>
      <c r="R120" s="40" t="e">
        <f t="shared" si="17"/>
        <v>#REF!</v>
      </c>
      <c r="S120" s="40" t="e">
        <f t="shared" si="18"/>
        <v>#REF!</v>
      </c>
      <c r="T120" s="40" t="e">
        <f t="shared" si="21"/>
        <v>#REF!</v>
      </c>
      <c r="U120" s="39" t="e">
        <f t="shared" si="11"/>
        <v>#REF!</v>
      </c>
      <c r="V120" s="139" t="e">
        <f t="shared" si="19"/>
        <v>#REF!</v>
      </c>
    </row>
    <row r="121" spans="1:22" ht="15.5">
      <c r="A121" s="58" t="s">
        <v>147</v>
      </c>
      <c r="B121" s="127"/>
      <c r="C121" s="127" t="s">
        <v>148</v>
      </c>
      <c r="D121" s="128">
        <f>IF(VGüterzüge&lt;60,1,(1+(VGüterzüge-60)/160))</f>
        <v>1</v>
      </c>
      <c r="E121" s="10"/>
      <c r="F121" s="84"/>
      <c r="G121" s="84"/>
      <c r="H121" s="84"/>
      <c r="I121" s="84"/>
      <c r="J121" s="84"/>
      <c r="K121" s="84"/>
      <c r="L121" s="5"/>
      <c r="M121" s="38">
        <f t="shared" si="20"/>
        <v>11.099999999999977</v>
      </c>
      <c r="N121" s="39" t="e">
        <f t="shared" si="13"/>
        <v>#REF!</v>
      </c>
      <c r="O121" s="39" t="e">
        <f t="shared" si="14"/>
        <v>#REF!</v>
      </c>
      <c r="P121" s="39" t="e">
        <f t="shared" si="15"/>
        <v>#REF!</v>
      </c>
      <c r="Q121" s="39" t="e">
        <f t="shared" si="16"/>
        <v>#REF!</v>
      </c>
      <c r="R121" s="40" t="e">
        <f t="shared" si="17"/>
        <v>#REF!</v>
      </c>
      <c r="S121" s="40" t="e">
        <f t="shared" si="18"/>
        <v>#REF!</v>
      </c>
      <c r="T121" s="40" t="e">
        <f t="shared" si="21"/>
        <v>#REF!</v>
      </c>
      <c r="U121" s="39" t="e">
        <f t="shared" si="11"/>
        <v>#REF!</v>
      </c>
      <c r="V121" s="139" t="e">
        <f t="shared" si="19"/>
        <v>#REF!</v>
      </c>
    </row>
    <row r="122" spans="1:22">
      <c r="A122" s="129"/>
      <c r="B122" s="46"/>
      <c r="C122" s="46"/>
      <c r="D122" s="46"/>
      <c r="E122" s="84"/>
      <c r="F122" s="84"/>
      <c r="G122" s="84"/>
      <c r="H122" s="84"/>
      <c r="I122" s="84"/>
      <c r="J122" s="84"/>
      <c r="K122" s="84"/>
      <c r="L122" s="5"/>
      <c r="M122" s="38">
        <f t="shared" si="20"/>
        <v>11.199999999999976</v>
      </c>
      <c r="N122" s="39" t="e">
        <f t="shared" si="13"/>
        <v>#REF!</v>
      </c>
      <c r="O122" s="39" t="e">
        <f t="shared" si="14"/>
        <v>#REF!</v>
      </c>
      <c r="P122" s="39" t="e">
        <f t="shared" si="15"/>
        <v>#REF!</v>
      </c>
      <c r="Q122" s="39" t="e">
        <f t="shared" si="16"/>
        <v>#REF!</v>
      </c>
      <c r="R122" s="40" t="e">
        <f t="shared" si="17"/>
        <v>#REF!</v>
      </c>
      <c r="S122" s="40" t="e">
        <f t="shared" si="18"/>
        <v>#REF!</v>
      </c>
      <c r="T122" s="40" t="e">
        <f t="shared" si="21"/>
        <v>#REF!</v>
      </c>
      <c r="U122" s="39" t="e">
        <f t="shared" si="11"/>
        <v>#REF!</v>
      </c>
      <c r="V122" s="139" t="e">
        <f t="shared" si="19"/>
        <v>#REF!</v>
      </c>
    </row>
    <row r="123" spans="1:22" ht="27" customHeight="1">
      <c r="A123" s="348" t="s">
        <v>149</v>
      </c>
      <c r="B123" s="349"/>
      <c r="C123" s="349"/>
      <c r="D123" s="179">
        <v>1.2</v>
      </c>
      <c r="E123" s="10"/>
      <c r="F123" s="84"/>
      <c r="G123" s="84"/>
      <c r="H123" s="84"/>
      <c r="I123" s="84"/>
      <c r="J123" s="84"/>
      <c r="K123" s="84"/>
      <c r="L123" s="5"/>
      <c r="M123" s="38">
        <f t="shared" si="20"/>
        <v>11.299999999999976</v>
      </c>
      <c r="N123" s="39" t="e">
        <f t="shared" si="13"/>
        <v>#REF!</v>
      </c>
      <c r="O123" s="39" t="e">
        <f t="shared" si="14"/>
        <v>#REF!</v>
      </c>
      <c r="P123" s="39" t="e">
        <f t="shared" si="15"/>
        <v>#REF!</v>
      </c>
      <c r="Q123" s="39" t="e">
        <f t="shared" si="16"/>
        <v>#REF!</v>
      </c>
      <c r="R123" s="40" t="e">
        <f t="shared" si="17"/>
        <v>#REF!</v>
      </c>
      <c r="S123" s="40" t="e">
        <f t="shared" si="18"/>
        <v>#REF!</v>
      </c>
      <c r="T123" s="40" t="e">
        <f t="shared" si="21"/>
        <v>#REF!</v>
      </c>
      <c r="U123" s="39" t="e">
        <f t="shared" si="11"/>
        <v>#REF!</v>
      </c>
      <c r="V123" s="139" t="e">
        <f t="shared" si="19"/>
        <v>#REF!</v>
      </c>
    </row>
    <row r="124" spans="1:22">
      <c r="A124" s="58" t="s">
        <v>150</v>
      </c>
      <c r="B124" s="127"/>
      <c r="C124" s="130" t="s">
        <v>151</v>
      </c>
      <c r="D124" s="180">
        <v>0.1</v>
      </c>
      <c r="E124" s="10"/>
      <c r="F124" s="84"/>
      <c r="G124" s="84"/>
      <c r="H124" s="84"/>
      <c r="I124" s="84"/>
      <c r="J124" s="84"/>
      <c r="K124" s="84"/>
      <c r="L124" s="5"/>
      <c r="M124" s="38">
        <f t="shared" si="20"/>
        <v>11.399999999999975</v>
      </c>
      <c r="N124" s="39" t="e">
        <f t="shared" si="13"/>
        <v>#REF!</v>
      </c>
      <c r="O124" s="39" t="e">
        <f t="shared" si="14"/>
        <v>#REF!</v>
      </c>
      <c r="P124" s="39" t="e">
        <f t="shared" si="15"/>
        <v>#REF!</v>
      </c>
      <c r="Q124" s="39" t="e">
        <f t="shared" si="16"/>
        <v>#REF!</v>
      </c>
      <c r="R124" s="40" t="e">
        <f t="shared" si="17"/>
        <v>#REF!</v>
      </c>
      <c r="S124" s="40" t="e">
        <f t="shared" si="18"/>
        <v>#REF!</v>
      </c>
      <c r="T124" s="40" t="e">
        <f t="shared" si="21"/>
        <v>#REF!</v>
      </c>
      <c r="U124" s="39" t="e">
        <f t="shared" si="11"/>
        <v>#REF!</v>
      </c>
      <c r="V124" s="139" t="e">
        <f t="shared" si="19"/>
        <v>#REF!</v>
      </c>
    </row>
    <row r="125" spans="1:22">
      <c r="A125" s="131" t="s">
        <v>152</v>
      </c>
      <c r="B125" s="132" t="s">
        <v>153</v>
      </c>
      <c r="C125" s="133">
        <v>0.1</v>
      </c>
      <c r="D125" s="4"/>
      <c r="E125" s="2"/>
      <c r="F125" s="84"/>
      <c r="G125" s="84"/>
      <c r="H125" s="84"/>
      <c r="I125" s="84"/>
      <c r="J125" s="84"/>
      <c r="K125" s="84"/>
      <c r="L125" s="5"/>
      <c r="M125" s="38">
        <f t="shared" si="20"/>
        <v>11.499999999999975</v>
      </c>
      <c r="N125" s="39" t="e">
        <f t="shared" si="13"/>
        <v>#REF!</v>
      </c>
      <c r="O125" s="39" t="e">
        <f t="shared" si="14"/>
        <v>#REF!</v>
      </c>
      <c r="P125" s="39" t="e">
        <f t="shared" si="15"/>
        <v>#REF!</v>
      </c>
      <c r="Q125" s="39" t="e">
        <f t="shared" si="16"/>
        <v>#REF!</v>
      </c>
      <c r="R125" s="40" t="e">
        <f t="shared" si="17"/>
        <v>#REF!</v>
      </c>
      <c r="S125" s="40" t="e">
        <f t="shared" si="18"/>
        <v>#REF!</v>
      </c>
      <c r="T125" s="40" t="e">
        <f t="shared" si="21"/>
        <v>#REF!</v>
      </c>
      <c r="U125" s="39" t="e">
        <f t="shared" si="11"/>
        <v>#REF!</v>
      </c>
      <c r="V125" s="139" t="e">
        <f t="shared" si="19"/>
        <v>#REF!</v>
      </c>
    </row>
    <row r="126" spans="1:22">
      <c r="A126" s="131" t="s">
        <v>154</v>
      </c>
      <c r="B126" s="132" t="s">
        <v>153</v>
      </c>
      <c r="C126" s="133">
        <v>0.2</v>
      </c>
      <c r="D126" s="10"/>
      <c r="E126" s="84"/>
      <c r="F126" s="84"/>
      <c r="G126" s="84"/>
      <c r="H126" s="84"/>
      <c r="I126" s="84"/>
      <c r="J126" s="84"/>
      <c r="K126" s="84"/>
      <c r="L126" s="5"/>
      <c r="M126" s="38">
        <f t="shared" si="20"/>
        <v>11.599999999999975</v>
      </c>
      <c r="N126" s="39" t="e">
        <f t="shared" si="13"/>
        <v>#REF!</v>
      </c>
      <c r="O126" s="39" t="e">
        <f t="shared" si="14"/>
        <v>#REF!</v>
      </c>
      <c r="P126" s="39" t="e">
        <f t="shared" si="15"/>
        <v>#REF!</v>
      </c>
      <c r="Q126" s="39" t="e">
        <f t="shared" si="16"/>
        <v>#REF!</v>
      </c>
      <c r="R126" s="40" t="e">
        <f t="shared" si="17"/>
        <v>#REF!</v>
      </c>
      <c r="S126" s="40" t="e">
        <f t="shared" si="18"/>
        <v>#REF!</v>
      </c>
      <c r="T126" s="40" t="e">
        <f t="shared" si="21"/>
        <v>#REF!</v>
      </c>
      <c r="U126" s="39" t="e">
        <f t="shared" si="11"/>
        <v>#REF!</v>
      </c>
      <c r="V126" s="139" t="e">
        <f t="shared" si="19"/>
        <v>#REF!</v>
      </c>
    </row>
    <row r="127" spans="1:22">
      <c r="A127" s="134" t="s">
        <v>155</v>
      </c>
      <c r="B127" s="135" t="s">
        <v>153</v>
      </c>
      <c r="C127" s="136">
        <v>0.3</v>
      </c>
      <c r="D127" s="137"/>
      <c r="E127" s="7"/>
      <c r="F127" s="84"/>
      <c r="G127" s="84"/>
      <c r="H127" s="84"/>
      <c r="I127" s="84"/>
      <c r="J127" s="84"/>
      <c r="K127" s="84"/>
      <c r="L127" s="5"/>
      <c r="M127" s="38">
        <f t="shared" si="20"/>
        <v>11.699999999999974</v>
      </c>
      <c r="N127" s="39" t="e">
        <f t="shared" si="13"/>
        <v>#REF!</v>
      </c>
      <c r="O127" s="39" t="e">
        <f t="shared" si="14"/>
        <v>#REF!</v>
      </c>
      <c r="P127" s="39" t="e">
        <f t="shared" si="15"/>
        <v>#REF!</v>
      </c>
      <c r="Q127" s="39" t="e">
        <f t="shared" si="16"/>
        <v>#REF!</v>
      </c>
      <c r="R127" s="40" t="e">
        <f t="shared" si="17"/>
        <v>#REF!</v>
      </c>
      <c r="S127" s="40" t="e">
        <f t="shared" si="18"/>
        <v>#REF!</v>
      </c>
      <c r="T127" s="40" t="e">
        <f t="shared" si="21"/>
        <v>#REF!</v>
      </c>
      <c r="U127" s="39" t="e">
        <f t="shared" si="11"/>
        <v>#REF!</v>
      </c>
      <c r="V127" s="139" t="e">
        <f t="shared" si="19"/>
        <v>#REF!</v>
      </c>
    </row>
    <row r="128" spans="1:22">
      <c r="A128" s="51"/>
      <c r="B128" s="2"/>
      <c r="C128" s="2"/>
      <c r="D128" s="84"/>
      <c r="E128" s="84"/>
      <c r="F128" s="84"/>
      <c r="G128" s="84"/>
      <c r="H128" s="84"/>
      <c r="I128" s="84"/>
      <c r="J128" s="84"/>
      <c r="K128" s="84"/>
      <c r="L128" s="5"/>
      <c r="M128" s="38">
        <f t="shared" si="20"/>
        <v>11.799999999999974</v>
      </c>
      <c r="N128" s="39" t="e">
        <f t="shared" si="13"/>
        <v>#REF!</v>
      </c>
      <c r="O128" s="39" t="e">
        <f t="shared" si="14"/>
        <v>#REF!</v>
      </c>
      <c r="P128" s="39" t="e">
        <f t="shared" si="15"/>
        <v>#REF!</v>
      </c>
      <c r="Q128" s="39" t="e">
        <f t="shared" si="16"/>
        <v>#REF!</v>
      </c>
      <c r="R128" s="40" t="e">
        <f t="shared" si="17"/>
        <v>#REF!</v>
      </c>
      <c r="S128" s="40" t="e">
        <f t="shared" si="18"/>
        <v>#REF!</v>
      </c>
      <c r="T128" s="40" t="e">
        <f t="shared" si="21"/>
        <v>#REF!</v>
      </c>
      <c r="U128" s="39" t="e">
        <f t="shared" si="11"/>
        <v>#REF!</v>
      </c>
      <c r="V128" s="139" t="e">
        <f t="shared" si="19"/>
        <v>#REF!</v>
      </c>
    </row>
    <row r="129" spans="1:22" ht="21">
      <c r="A129" s="196" t="s">
        <v>156</v>
      </c>
      <c r="B129" s="175" t="e">
        <f>MAX(O8:O330)</f>
        <v>#REF!</v>
      </c>
      <c r="C129" s="176" t="s">
        <v>135</v>
      </c>
      <c r="D129" s="84"/>
      <c r="E129" s="84"/>
      <c r="F129" s="84"/>
      <c r="G129" s="84"/>
      <c r="H129" s="84"/>
      <c r="I129" s="84"/>
      <c r="J129" s="84"/>
      <c r="K129" s="84"/>
      <c r="L129" s="5"/>
      <c r="M129" s="38">
        <f t="shared" si="20"/>
        <v>11.899999999999974</v>
      </c>
      <c r="N129" s="39" t="e">
        <f t="shared" si="13"/>
        <v>#REF!</v>
      </c>
      <c r="O129" s="39" t="e">
        <f t="shared" si="14"/>
        <v>#REF!</v>
      </c>
      <c r="P129" s="39" t="e">
        <f t="shared" si="15"/>
        <v>#REF!</v>
      </c>
      <c r="Q129" s="39" t="e">
        <f t="shared" si="16"/>
        <v>#REF!</v>
      </c>
      <c r="R129" s="40" t="e">
        <f t="shared" si="17"/>
        <v>#REF!</v>
      </c>
      <c r="S129" s="40" t="e">
        <f t="shared" si="18"/>
        <v>#REF!</v>
      </c>
      <c r="T129" s="40" t="e">
        <f t="shared" si="21"/>
        <v>#REF!</v>
      </c>
      <c r="U129" s="39" t="e">
        <f t="shared" si="11"/>
        <v>#REF!</v>
      </c>
      <c r="V129" s="139" t="e">
        <f t="shared" si="19"/>
        <v>#REF!</v>
      </c>
    </row>
    <row r="130" spans="1:22" ht="21">
      <c r="A130" s="196" t="s">
        <v>157</v>
      </c>
      <c r="B130" s="175" t="e">
        <f>(Maximales_Biegemoment__charakteristisch/WSchiene)*10^6*(1+3*Faktor_Oberbauzustand*fPersonenzüge)*Faktor_Radkraftverlagerung</f>
        <v>#REF!</v>
      </c>
      <c r="C130" s="176" t="s">
        <v>137</v>
      </c>
      <c r="D130" s="84"/>
      <c r="E130" s="84"/>
      <c r="F130" s="84"/>
      <c r="G130" s="84"/>
      <c r="H130" s="84"/>
      <c r="I130" s="84"/>
      <c r="J130" s="84"/>
      <c r="K130" s="84"/>
      <c r="L130" s="5"/>
      <c r="M130" s="38">
        <f t="shared" si="20"/>
        <v>11.999999999999973</v>
      </c>
      <c r="N130" s="39" t="e">
        <f t="shared" si="13"/>
        <v>#REF!</v>
      </c>
      <c r="O130" s="39" t="e">
        <f t="shared" si="14"/>
        <v>#REF!</v>
      </c>
      <c r="P130" s="39" t="e">
        <f t="shared" si="15"/>
        <v>#REF!</v>
      </c>
      <c r="Q130" s="39" t="e">
        <f t="shared" si="16"/>
        <v>#REF!</v>
      </c>
      <c r="R130" s="40" t="e">
        <f t="shared" si="17"/>
        <v>#REF!</v>
      </c>
      <c r="S130" s="40" t="e">
        <f t="shared" si="18"/>
        <v>#REF!</v>
      </c>
      <c r="T130" s="40" t="e">
        <f t="shared" si="21"/>
        <v>#REF!</v>
      </c>
      <c r="U130" s="39" t="e">
        <f t="shared" si="11"/>
        <v>#REF!</v>
      </c>
      <c r="V130" s="139" t="e">
        <f t="shared" si="19"/>
        <v>#REF!</v>
      </c>
    </row>
    <row r="131" spans="1:22" ht="21">
      <c r="A131" s="196" t="s">
        <v>158</v>
      </c>
      <c r="B131" s="175" t="e">
        <f>(Maximales_Biegemoment__charakteristisch/WSchiene)*10^6*(1+3*Faktor_Oberbauzustand*fGüterzüge)*Faktor_Radkraftverlagerung</f>
        <v>#REF!</v>
      </c>
      <c r="C131" s="176" t="s">
        <v>137</v>
      </c>
      <c r="D131" s="84"/>
      <c r="E131" s="84"/>
      <c r="F131" s="84"/>
      <c r="G131" s="84"/>
      <c r="H131" s="84"/>
      <c r="I131" s="84"/>
      <c r="J131" s="84"/>
      <c r="K131" s="84"/>
      <c r="L131" s="5"/>
      <c r="M131" s="38">
        <f t="shared" si="20"/>
        <v>12.099999999999973</v>
      </c>
      <c r="N131" s="39" t="e">
        <f t="shared" si="13"/>
        <v>#REF!</v>
      </c>
      <c r="O131" s="39" t="e">
        <f t="shared" si="14"/>
        <v>#REF!</v>
      </c>
      <c r="P131" s="39" t="e">
        <f t="shared" si="15"/>
        <v>#REF!</v>
      </c>
      <c r="Q131" s="39" t="e">
        <f t="shared" si="16"/>
        <v>#REF!</v>
      </c>
      <c r="R131" s="40" t="e">
        <f t="shared" si="17"/>
        <v>#REF!</v>
      </c>
      <c r="S131" s="40" t="e">
        <f t="shared" si="18"/>
        <v>#REF!</v>
      </c>
      <c r="T131" s="40" t="e">
        <f t="shared" si="21"/>
        <v>#REF!</v>
      </c>
      <c r="U131" s="39" t="e">
        <f t="shared" si="11"/>
        <v>#REF!</v>
      </c>
      <c r="V131" s="139" t="e">
        <f t="shared" si="19"/>
        <v>#REF!</v>
      </c>
    </row>
    <row r="132" spans="1:22">
      <c r="A132" s="52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5"/>
      <c r="M132" s="38">
        <f t="shared" si="20"/>
        <v>12.199999999999973</v>
      </c>
      <c r="N132" s="39" t="e">
        <f t="shared" si="13"/>
        <v>#REF!</v>
      </c>
      <c r="O132" s="39" t="e">
        <f t="shared" si="14"/>
        <v>#REF!</v>
      </c>
      <c r="P132" s="39" t="e">
        <f t="shared" si="15"/>
        <v>#REF!</v>
      </c>
      <c r="Q132" s="39" t="e">
        <f t="shared" si="16"/>
        <v>#REF!</v>
      </c>
      <c r="R132" s="40" t="e">
        <f t="shared" si="17"/>
        <v>#REF!</v>
      </c>
      <c r="S132" s="40" t="e">
        <f t="shared" si="18"/>
        <v>#REF!</v>
      </c>
      <c r="T132" s="40" t="e">
        <f t="shared" si="21"/>
        <v>#REF!</v>
      </c>
      <c r="U132" s="39" t="e">
        <f t="shared" si="11"/>
        <v>#REF!</v>
      </c>
      <c r="V132" s="139" t="e">
        <f t="shared" si="19"/>
        <v>#REF!</v>
      </c>
    </row>
    <row r="133" spans="1:22">
      <c r="A133" s="52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5"/>
      <c r="M133" s="38">
        <f t="shared" si="20"/>
        <v>12.299999999999972</v>
      </c>
      <c r="N133" s="39" t="e">
        <f t="shared" si="13"/>
        <v>#REF!</v>
      </c>
      <c r="O133" s="39" t="e">
        <f t="shared" si="14"/>
        <v>#REF!</v>
      </c>
      <c r="P133" s="39" t="e">
        <f t="shared" si="15"/>
        <v>#REF!</v>
      </c>
      <c r="Q133" s="39" t="e">
        <f t="shared" si="16"/>
        <v>#REF!</v>
      </c>
      <c r="R133" s="40" t="e">
        <f t="shared" si="17"/>
        <v>#REF!</v>
      </c>
      <c r="S133" s="40" t="e">
        <f t="shared" si="18"/>
        <v>#REF!</v>
      </c>
      <c r="T133" s="40" t="e">
        <f t="shared" si="21"/>
        <v>#REF!</v>
      </c>
      <c r="U133" s="39" t="e">
        <f t="shared" si="11"/>
        <v>#REF!</v>
      </c>
      <c r="V133" s="139" t="e">
        <f t="shared" si="19"/>
        <v>#REF!</v>
      </c>
    </row>
    <row r="134" spans="1:22">
      <c r="A134" s="52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5"/>
      <c r="M134" s="38">
        <f t="shared" si="20"/>
        <v>12.399999999999972</v>
      </c>
      <c r="N134" s="39" t="e">
        <f t="shared" si="13"/>
        <v>#REF!</v>
      </c>
      <c r="O134" s="39" t="e">
        <f t="shared" si="14"/>
        <v>#REF!</v>
      </c>
      <c r="P134" s="39" t="e">
        <f t="shared" si="15"/>
        <v>#REF!</v>
      </c>
      <c r="Q134" s="39" t="e">
        <f t="shared" si="16"/>
        <v>#REF!</v>
      </c>
      <c r="R134" s="40" t="e">
        <f t="shared" si="17"/>
        <v>#REF!</v>
      </c>
      <c r="S134" s="40" t="e">
        <f t="shared" si="18"/>
        <v>#REF!</v>
      </c>
      <c r="T134" s="40" t="e">
        <f t="shared" si="21"/>
        <v>#REF!</v>
      </c>
      <c r="U134" s="39" t="e">
        <f t="shared" si="11"/>
        <v>#REF!</v>
      </c>
      <c r="V134" s="139" t="e">
        <f t="shared" si="19"/>
        <v>#REF!</v>
      </c>
    </row>
    <row r="135" spans="1:22">
      <c r="A135" s="52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5"/>
      <c r="M135" s="38">
        <f t="shared" si="20"/>
        <v>12.499999999999972</v>
      </c>
      <c r="N135" s="39" t="e">
        <f t="shared" si="13"/>
        <v>#REF!</v>
      </c>
      <c r="O135" s="39" t="e">
        <f t="shared" si="14"/>
        <v>#REF!</v>
      </c>
      <c r="P135" s="39" t="e">
        <f t="shared" si="15"/>
        <v>#REF!</v>
      </c>
      <c r="Q135" s="39" t="e">
        <f t="shared" si="16"/>
        <v>#REF!</v>
      </c>
      <c r="R135" s="40" t="e">
        <f t="shared" si="17"/>
        <v>#REF!</v>
      </c>
      <c r="S135" s="40" t="e">
        <f t="shared" si="18"/>
        <v>#REF!</v>
      </c>
      <c r="T135" s="40" t="e">
        <f t="shared" si="21"/>
        <v>#REF!</v>
      </c>
      <c r="U135" s="39" t="e">
        <f t="shared" si="11"/>
        <v>#REF!</v>
      </c>
      <c r="V135" s="139" t="e">
        <f t="shared" si="19"/>
        <v>#REF!</v>
      </c>
    </row>
    <row r="136" spans="1:22">
      <c r="A136" s="52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5"/>
      <c r="M136" s="38">
        <f t="shared" si="20"/>
        <v>12.599999999999971</v>
      </c>
      <c r="N136" s="39" t="e">
        <f t="shared" si="13"/>
        <v>#REF!</v>
      </c>
      <c r="O136" s="39" t="e">
        <f t="shared" si="14"/>
        <v>#REF!</v>
      </c>
      <c r="P136" s="39" t="e">
        <f t="shared" si="15"/>
        <v>#REF!</v>
      </c>
      <c r="Q136" s="39" t="e">
        <f t="shared" si="16"/>
        <v>#REF!</v>
      </c>
      <c r="R136" s="40" t="e">
        <f t="shared" si="17"/>
        <v>#REF!</v>
      </c>
      <c r="S136" s="40" t="e">
        <f t="shared" si="18"/>
        <v>#REF!</v>
      </c>
      <c r="T136" s="40" t="e">
        <f t="shared" si="21"/>
        <v>#REF!</v>
      </c>
      <c r="U136" s="39" t="e">
        <f t="shared" ref="U136:U199" si="22">ktot*N136</f>
        <v>#REF!</v>
      </c>
      <c r="V136" s="139" t="e">
        <f t="shared" si="19"/>
        <v>#REF!</v>
      </c>
    </row>
    <row r="137" spans="1:22">
      <c r="A137" s="52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5"/>
      <c r="M137" s="38">
        <f t="shared" si="20"/>
        <v>12.699999999999971</v>
      </c>
      <c r="N137" s="39" t="e">
        <f t="shared" si="13"/>
        <v>#REF!</v>
      </c>
      <c r="O137" s="39" t="e">
        <f t="shared" si="14"/>
        <v>#REF!</v>
      </c>
      <c r="P137" s="39" t="e">
        <f t="shared" si="15"/>
        <v>#REF!</v>
      </c>
      <c r="Q137" s="39" t="e">
        <f t="shared" si="16"/>
        <v>#REF!</v>
      </c>
      <c r="R137" s="40" t="e">
        <f t="shared" si="17"/>
        <v>#REF!</v>
      </c>
      <c r="S137" s="40" t="e">
        <f t="shared" si="18"/>
        <v>#REF!</v>
      </c>
      <c r="T137" s="40" t="e">
        <f t="shared" si="21"/>
        <v>#REF!</v>
      </c>
      <c r="U137" s="39" t="e">
        <f t="shared" si="22"/>
        <v>#REF!</v>
      </c>
      <c r="V137" s="139" t="e">
        <f t="shared" si="19"/>
        <v>#REF!</v>
      </c>
    </row>
    <row r="138" spans="1:22">
      <c r="A138" s="52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5"/>
      <c r="M138" s="38">
        <f t="shared" si="20"/>
        <v>12.799999999999971</v>
      </c>
      <c r="N138" s="39" t="e">
        <f t="shared" ref="N138:N201" si="23">(1/(ESchiene*ISchiene))*((Achslast_4*10^3/2)/(8*(1/Lelastisch)^3)*EXP(-(1/Lelastisch)*ABS(M138-x4_)*10^3)*(COS(ABS(M138-x4_)*10^3/Lelastisch)+SIN(ABS(M138-x4_)*10^3/Lelastisch))+(Achslast_3*10^3/2)/(8*(1/Lelastisch)^3)*EXP(-(1/Lelastisch)*ABS(M138-x_3)*10^3)*(COS(ABS(M138-x_3)*10^3/Lelastisch)+SIN(ABS(M138-x_3)*10^3/Lelastisch))+(Achslast_2*10^3/2)/(8*(1/Lelastisch)^3)*EXP(-(1/Lelastisch)*ABS(M138-x_2)*10^3)*(COS(ABS(M138-x_2)*10^3/Lelastisch)+SIN(ABS(M138-x_2)*10^3/Lelastisch))+(Achslast_1*10^3/2)/(8*(1/Lelastisch)^3)*EXP(-(1/Lelastisch)*ABS(M138-x_1)*10^3)*(COS(ABS(M138-x_1)*10^3/Lelastisch)+SIN(ABS(M138-x_1)*10^3/Lelastisch)))</f>
        <v>#REF!</v>
      </c>
      <c r="O138" s="39" t="e">
        <f t="shared" ref="O138:O201" si="24">((Achslast_4*10^3/2)/(4*(1/Lelastisch))*EXP(-(1/Lelastisch)*ABS(M138-x4_)*10^3)*(COS(ABS(M138-x4_)*10^3/Lelastisch)-SIN(ABS(M138-x4_)*10^3/Lelastisch))+(Achslast_3*10^3/2)/(4*(1/Lelastisch))*EXP(-(1/Lelastisch)*ABS(M138-x_3)*10^3)*(COS(ABS(M138-x_3)*10^3/Lelastisch)-SIN(ABS(M138-x_3)*10^3/Lelastisch))+(Achslast_2*10^3/2)/(4*(1/Lelastisch))*EXP(-(1/Lelastisch)*ABS(M138-x_2)*10^3)*(COS(ABS(M138-x_2)*10^3/Lelastisch)-SIN(ABS(M138-x_2)*10^3/Lelastisch))+(Achslast_1*10^3/2)/(4*(1/Lelastisch))*EXP(-(1/Lelastisch)*ABS(M138-x_1)*10^3)*(COS(ABS(M138-x_1)*10^3/Lelastisch)-SIN(ABS(M138-x_1)*10^3/Lelastisch)))*10^-6</f>
        <v>#REF!</v>
      </c>
      <c r="P138" s="39" t="e">
        <f t="shared" ref="P138:P201" si="25">((Achslast_4*10^3*kd*kq/2)/(4*(1/Lelastisch))*EXP(-(1/Lelastisch)*ABS(M138-x4_)*10^3)*(COS(ABS(M138-x4_)*10^3/Lelastisch)-SIN(ABS(M138-x4_)*10^3/Lelastisch))+(Achslast_3*10^3*kd*kq/2)/(4*(1/Lelastisch))*EXP(-(1/Lelastisch)*ABS(M138-x_3)*10^3)*(COS(ABS(M138-x_3)*10^3/Lelastisch)-SIN(ABS(M138-x_3)*10^3/Lelastisch))+(Achslast_2*10^3*kd*kq/2)/(4*(1/Lelastisch))*EXP(-(1/Lelastisch)*ABS(M138-x_2)*10^3)*(COS(ABS(M138-x_2)*10^3/Lelastisch)-SIN(ABS(M138-x_2)*10^3/Lelastisch))+(Achslast_1*10^3*kd*kq/2)/(4*(1/Lelastisch))*EXP(-(1/Lelastisch)*ABS(M138-x_1)*10^3)*(COS(ABS(M138-x_1)*10^3/Lelastisch)-SIN(ABS(M138-x_1)*10^3/Lelastisch)))*10^-6</f>
        <v>#REF!</v>
      </c>
      <c r="Q138" s="39" t="e">
        <f t="shared" ref="Q138:Q201" si="26">P138/WSchiene*10^6</f>
        <v>#REF!</v>
      </c>
      <c r="R138" s="40" t="e">
        <f t="shared" ref="R138:R201" si="27">(O138/WSchiene)*10^6*(1+3*Faktor_Oberbauzustand*fPersonenzüge)</f>
        <v>#REF!</v>
      </c>
      <c r="S138" s="40" t="e">
        <f t="shared" ref="S138:S201" si="28">(O138/WSchiene)*10^6*(1+3*Faktor_Oberbauzustand*fGüterzüge)</f>
        <v>#REF!</v>
      </c>
      <c r="T138" s="40" t="e">
        <f t="shared" si="21"/>
        <v>#REF!</v>
      </c>
      <c r="U138" s="39" t="e">
        <f t="shared" si="22"/>
        <v>#REF!</v>
      </c>
      <c r="V138" s="139" t="e">
        <f t="shared" ref="V138:V201" si="29">MAX($U$8:$U$330)</f>
        <v>#REF!</v>
      </c>
    </row>
    <row r="139" spans="1:22">
      <c r="A139" s="52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5"/>
      <c r="M139" s="38">
        <f t="shared" ref="M139:M202" si="30">MIN(M138+Dx,LSchiene)</f>
        <v>12.89999999999997</v>
      </c>
      <c r="N139" s="39" t="e">
        <f t="shared" si="23"/>
        <v>#REF!</v>
      </c>
      <c r="O139" s="39" t="e">
        <f t="shared" si="24"/>
        <v>#REF!</v>
      </c>
      <c r="P139" s="39" t="e">
        <f t="shared" si="25"/>
        <v>#REF!</v>
      </c>
      <c r="Q139" s="39" t="e">
        <f t="shared" si="26"/>
        <v>#REF!</v>
      </c>
      <c r="R139" s="40" t="e">
        <f t="shared" si="27"/>
        <v>#REF!</v>
      </c>
      <c r="S139" s="40" t="e">
        <f t="shared" si="28"/>
        <v>#REF!</v>
      </c>
      <c r="T139" s="40" t="e">
        <f t="shared" si="21"/>
        <v>#REF!</v>
      </c>
      <c r="U139" s="39" t="e">
        <f t="shared" si="22"/>
        <v>#REF!</v>
      </c>
      <c r="V139" s="139" t="e">
        <f t="shared" si="29"/>
        <v>#REF!</v>
      </c>
    </row>
    <row r="140" spans="1:22">
      <c r="A140" s="52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5"/>
      <c r="M140" s="38">
        <f t="shared" si="30"/>
        <v>12.99999999999997</v>
      </c>
      <c r="N140" s="39" t="e">
        <f t="shared" si="23"/>
        <v>#REF!</v>
      </c>
      <c r="O140" s="39" t="e">
        <f t="shared" si="24"/>
        <v>#REF!</v>
      </c>
      <c r="P140" s="39" t="e">
        <f t="shared" si="25"/>
        <v>#REF!</v>
      </c>
      <c r="Q140" s="39" t="e">
        <f t="shared" si="26"/>
        <v>#REF!</v>
      </c>
      <c r="R140" s="40" t="e">
        <f t="shared" si="27"/>
        <v>#REF!</v>
      </c>
      <c r="S140" s="40" t="e">
        <f t="shared" si="28"/>
        <v>#REF!</v>
      </c>
      <c r="T140" s="40" t="e">
        <f t="shared" si="21"/>
        <v>#REF!</v>
      </c>
      <c r="U140" s="39" t="e">
        <f t="shared" si="22"/>
        <v>#REF!</v>
      </c>
      <c r="V140" s="139" t="e">
        <f t="shared" si="29"/>
        <v>#REF!</v>
      </c>
    </row>
    <row r="141" spans="1:22">
      <c r="A141" s="52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5"/>
      <c r="M141" s="38">
        <f t="shared" si="30"/>
        <v>13.099999999999969</v>
      </c>
      <c r="N141" s="39" t="e">
        <f t="shared" si="23"/>
        <v>#REF!</v>
      </c>
      <c r="O141" s="39" t="e">
        <f t="shared" si="24"/>
        <v>#REF!</v>
      </c>
      <c r="P141" s="39" t="e">
        <f t="shared" si="25"/>
        <v>#REF!</v>
      </c>
      <c r="Q141" s="39" t="e">
        <f t="shared" si="26"/>
        <v>#REF!</v>
      </c>
      <c r="R141" s="40" t="e">
        <f t="shared" si="27"/>
        <v>#REF!</v>
      </c>
      <c r="S141" s="40" t="e">
        <f t="shared" si="28"/>
        <v>#REF!</v>
      </c>
      <c r="T141" s="40" t="e">
        <f t="shared" si="21"/>
        <v>#REF!</v>
      </c>
      <c r="U141" s="39" t="e">
        <f t="shared" si="22"/>
        <v>#REF!</v>
      </c>
      <c r="V141" s="139" t="e">
        <f t="shared" si="29"/>
        <v>#REF!</v>
      </c>
    </row>
    <row r="142" spans="1:22">
      <c r="A142" s="52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5"/>
      <c r="M142" s="38">
        <f t="shared" si="30"/>
        <v>13.199999999999969</v>
      </c>
      <c r="N142" s="39" t="e">
        <f t="shared" si="23"/>
        <v>#REF!</v>
      </c>
      <c r="O142" s="39" t="e">
        <f t="shared" si="24"/>
        <v>#REF!</v>
      </c>
      <c r="P142" s="39" t="e">
        <f t="shared" si="25"/>
        <v>#REF!</v>
      </c>
      <c r="Q142" s="39" t="e">
        <f t="shared" si="26"/>
        <v>#REF!</v>
      </c>
      <c r="R142" s="40" t="e">
        <f t="shared" si="27"/>
        <v>#REF!</v>
      </c>
      <c r="S142" s="40" t="e">
        <f t="shared" si="28"/>
        <v>#REF!</v>
      </c>
      <c r="T142" s="40" t="e">
        <f t="shared" si="21"/>
        <v>#REF!</v>
      </c>
      <c r="U142" s="39" t="e">
        <f t="shared" si="22"/>
        <v>#REF!</v>
      </c>
      <c r="V142" s="139" t="e">
        <f t="shared" si="29"/>
        <v>#REF!</v>
      </c>
    </row>
    <row r="143" spans="1:22">
      <c r="A143" s="52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5"/>
      <c r="M143" s="38">
        <f t="shared" si="30"/>
        <v>13.299999999999969</v>
      </c>
      <c r="N143" s="39" t="e">
        <f t="shared" si="23"/>
        <v>#REF!</v>
      </c>
      <c r="O143" s="39" t="e">
        <f t="shared" si="24"/>
        <v>#REF!</v>
      </c>
      <c r="P143" s="39" t="e">
        <f t="shared" si="25"/>
        <v>#REF!</v>
      </c>
      <c r="Q143" s="39" t="e">
        <f t="shared" si="26"/>
        <v>#REF!</v>
      </c>
      <c r="R143" s="40" t="e">
        <f t="shared" si="27"/>
        <v>#REF!</v>
      </c>
      <c r="S143" s="40" t="e">
        <f t="shared" si="28"/>
        <v>#REF!</v>
      </c>
      <c r="T143" s="40" t="e">
        <f t="shared" si="21"/>
        <v>#REF!</v>
      </c>
      <c r="U143" s="39" t="e">
        <f t="shared" si="22"/>
        <v>#REF!</v>
      </c>
      <c r="V143" s="139" t="e">
        <f t="shared" si="29"/>
        <v>#REF!</v>
      </c>
    </row>
    <row r="144" spans="1:22">
      <c r="A144" s="52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5"/>
      <c r="M144" s="38">
        <f t="shared" si="30"/>
        <v>13.399999999999968</v>
      </c>
      <c r="N144" s="39" t="e">
        <f t="shared" si="23"/>
        <v>#REF!</v>
      </c>
      <c r="O144" s="39" t="e">
        <f t="shared" si="24"/>
        <v>#REF!</v>
      </c>
      <c r="P144" s="39" t="e">
        <f t="shared" si="25"/>
        <v>#REF!</v>
      </c>
      <c r="Q144" s="39" t="e">
        <f t="shared" si="26"/>
        <v>#REF!</v>
      </c>
      <c r="R144" s="40" t="e">
        <f t="shared" si="27"/>
        <v>#REF!</v>
      </c>
      <c r="S144" s="40" t="e">
        <f t="shared" si="28"/>
        <v>#REF!</v>
      </c>
      <c r="T144" s="40" t="e">
        <f t="shared" si="21"/>
        <v>#REF!</v>
      </c>
      <c r="U144" s="39" t="e">
        <f t="shared" si="22"/>
        <v>#REF!</v>
      </c>
      <c r="V144" s="139" t="e">
        <f t="shared" si="29"/>
        <v>#REF!</v>
      </c>
    </row>
    <row r="145" spans="1:22">
      <c r="A145" s="52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5"/>
      <c r="M145" s="38">
        <f t="shared" si="30"/>
        <v>13.499999999999968</v>
      </c>
      <c r="N145" s="39" t="e">
        <f t="shared" si="23"/>
        <v>#REF!</v>
      </c>
      <c r="O145" s="39" t="e">
        <f t="shared" si="24"/>
        <v>#REF!</v>
      </c>
      <c r="P145" s="39" t="e">
        <f t="shared" si="25"/>
        <v>#REF!</v>
      </c>
      <c r="Q145" s="39" t="e">
        <f t="shared" si="26"/>
        <v>#REF!</v>
      </c>
      <c r="R145" s="40" t="e">
        <f t="shared" si="27"/>
        <v>#REF!</v>
      </c>
      <c r="S145" s="40" t="e">
        <f t="shared" si="28"/>
        <v>#REF!</v>
      </c>
      <c r="T145" s="40" t="e">
        <f t="shared" si="21"/>
        <v>#REF!</v>
      </c>
      <c r="U145" s="39" t="e">
        <f t="shared" si="22"/>
        <v>#REF!</v>
      </c>
      <c r="V145" s="139" t="e">
        <f t="shared" si="29"/>
        <v>#REF!</v>
      </c>
    </row>
    <row r="146" spans="1:22">
      <c r="A146" s="52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5"/>
      <c r="M146" s="38">
        <f t="shared" si="30"/>
        <v>13.599999999999968</v>
      </c>
      <c r="N146" s="39" t="e">
        <f t="shared" si="23"/>
        <v>#REF!</v>
      </c>
      <c r="O146" s="39" t="e">
        <f t="shared" si="24"/>
        <v>#REF!</v>
      </c>
      <c r="P146" s="39" t="e">
        <f t="shared" si="25"/>
        <v>#REF!</v>
      </c>
      <c r="Q146" s="39" t="e">
        <f t="shared" si="26"/>
        <v>#REF!</v>
      </c>
      <c r="R146" s="40" t="e">
        <f t="shared" si="27"/>
        <v>#REF!</v>
      </c>
      <c r="S146" s="40" t="e">
        <f t="shared" si="28"/>
        <v>#REF!</v>
      </c>
      <c r="T146" s="40" t="e">
        <f t="shared" ref="T146:T209" si="31">IF(N146=MAX($N$8:$N$330),N146,#N/A)</f>
        <v>#REF!</v>
      </c>
      <c r="U146" s="39" t="e">
        <f t="shared" si="22"/>
        <v>#REF!</v>
      </c>
      <c r="V146" s="139" t="e">
        <f t="shared" si="29"/>
        <v>#REF!</v>
      </c>
    </row>
    <row r="147" spans="1:22">
      <c r="A147" s="105"/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5"/>
      <c r="M147" s="38">
        <f t="shared" si="30"/>
        <v>13.699999999999967</v>
      </c>
      <c r="N147" s="39" t="e">
        <f t="shared" si="23"/>
        <v>#REF!</v>
      </c>
      <c r="O147" s="39" t="e">
        <f t="shared" si="24"/>
        <v>#REF!</v>
      </c>
      <c r="P147" s="39" t="e">
        <f t="shared" si="25"/>
        <v>#REF!</v>
      </c>
      <c r="Q147" s="39" t="e">
        <f t="shared" si="26"/>
        <v>#REF!</v>
      </c>
      <c r="R147" s="40" t="e">
        <f t="shared" si="27"/>
        <v>#REF!</v>
      </c>
      <c r="S147" s="40" t="e">
        <f t="shared" si="28"/>
        <v>#REF!</v>
      </c>
      <c r="T147" s="40" t="e">
        <f t="shared" si="31"/>
        <v>#REF!</v>
      </c>
      <c r="U147" s="39" t="e">
        <f t="shared" si="22"/>
        <v>#REF!</v>
      </c>
      <c r="V147" s="139" t="e">
        <f t="shared" si="29"/>
        <v>#REF!</v>
      </c>
    </row>
    <row r="148" spans="1:22">
      <c r="A148" s="138"/>
      <c r="B148" s="138"/>
      <c r="C148" s="138"/>
      <c r="D148" s="138"/>
      <c r="E148" s="138"/>
      <c r="F148" s="138"/>
      <c r="G148" s="138"/>
      <c r="H148" s="138"/>
      <c r="I148" s="138"/>
      <c r="J148" s="138"/>
      <c r="K148" s="138"/>
      <c r="L148" s="6"/>
      <c r="M148" s="38">
        <f t="shared" si="30"/>
        <v>13.799999999999967</v>
      </c>
      <c r="N148" s="39" t="e">
        <f t="shared" si="23"/>
        <v>#REF!</v>
      </c>
      <c r="O148" s="39" t="e">
        <f t="shared" si="24"/>
        <v>#REF!</v>
      </c>
      <c r="P148" s="39" t="e">
        <f t="shared" si="25"/>
        <v>#REF!</v>
      </c>
      <c r="Q148" s="39" t="e">
        <f t="shared" si="26"/>
        <v>#REF!</v>
      </c>
      <c r="R148" s="40" t="e">
        <f t="shared" si="27"/>
        <v>#REF!</v>
      </c>
      <c r="S148" s="40" t="e">
        <f t="shared" si="28"/>
        <v>#REF!</v>
      </c>
      <c r="T148" s="40" t="e">
        <f t="shared" si="31"/>
        <v>#REF!</v>
      </c>
      <c r="U148" s="39" t="e">
        <f t="shared" si="22"/>
        <v>#REF!</v>
      </c>
      <c r="V148" s="139" t="e">
        <f t="shared" si="29"/>
        <v>#REF!</v>
      </c>
    </row>
    <row r="149" spans="1:22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38">
        <f t="shared" si="30"/>
        <v>13.899999999999967</v>
      </c>
      <c r="N149" s="39" t="e">
        <f t="shared" si="23"/>
        <v>#REF!</v>
      </c>
      <c r="O149" s="39" t="e">
        <f t="shared" si="24"/>
        <v>#REF!</v>
      </c>
      <c r="P149" s="39" t="e">
        <f t="shared" si="25"/>
        <v>#REF!</v>
      </c>
      <c r="Q149" s="39" t="e">
        <f t="shared" si="26"/>
        <v>#REF!</v>
      </c>
      <c r="R149" s="40" t="e">
        <f t="shared" si="27"/>
        <v>#REF!</v>
      </c>
      <c r="S149" s="40" t="e">
        <f t="shared" si="28"/>
        <v>#REF!</v>
      </c>
      <c r="T149" s="40" t="e">
        <f t="shared" si="31"/>
        <v>#REF!</v>
      </c>
      <c r="U149" s="39" t="e">
        <f t="shared" si="22"/>
        <v>#REF!</v>
      </c>
      <c r="V149" s="139" t="e">
        <f t="shared" si="29"/>
        <v>#REF!</v>
      </c>
    </row>
    <row r="150" spans="1:22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38">
        <f t="shared" si="30"/>
        <v>13.999999999999966</v>
      </c>
      <c r="N150" s="39" t="e">
        <f t="shared" si="23"/>
        <v>#REF!</v>
      </c>
      <c r="O150" s="39" t="e">
        <f t="shared" si="24"/>
        <v>#REF!</v>
      </c>
      <c r="P150" s="39" t="e">
        <f t="shared" si="25"/>
        <v>#REF!</v>
      </c>
      <c r="Q150" s="39" t="e">
        <f t="shared" si="26"/>
        <v>#REF!</v>
      </c>
      <c r="R150" s="40" t="e">
        <f t="shared" si="27"/>
        <v>#REF!</v>
      </c>
      <c r="S150" s="40" t="e">
        <f t="shared" si="28"/>
        <v>#REF!</v>
      </c>
      <c r="T150" s="40" t="e">
        <f t="shared" si="31"/>
        <v>#REF!</v>
      </c>
      <c r="U150" s="39" t="e">
        <f t="shared" si="22"/>
        <v>#REF!</v>
      </c>
      <c r="V150" s="139" t="e">
        <f t="shared" si="29"/>
        <v>#REF!</v>
      </c>
    </row>
    <row r="151" spans="1:22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38">
        <f t="shared" si="30"/>
        <v>14.099999999999966</v>
      </c>
      <c r="N151" s="39" t="e">
        <f t="shared" si="23"/>
        <v>#REF!</v>
      </c>
      <c r="O151" s="39" t="e">
        <f t="shared" si="24"/>
        <v>#REF!</v>
      </c>
      <c r="P151" s="39" t="e">
        <f t="shared" si="25"/>
        <v>#REF!</v>
      </c>
      <c r="Q151" s="39" t="e">
        <f t="shared" si="26"/>
        <v>#REF!</v>
      </c>
      <c r="R151" s="40" t="e">
        <f t="shared" si="27"/>
        <v>#REF!</v>
      </c>
      <c r="S151" s="40" t="e">
        <f t="shared" si="28"/>
        <v>#REF!</v>
      </c>
      <c r="T151" s="40" t="e">
        <f t="shared" si="31"/>
        <v>#REF!</v>
      </c>
      <c r="U151" s="39" t="e">
        <f t="shared" si="22"/>
        <v>#REF!</v>
      </c>
      <c r="V151" s="139" t="e">
        <f t="shared" si="29"/>
        <v>#REF!</v>
      </c>
    </row>
    <row r="152" spans="1:2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38">
        <f t="shared" si="30"/>
        <v>14.199999999999966</v>
      </c>
      <c r="N152" s="39" t="e">
        <f t="shared" si="23"/>
        <v>#REF!</v>
      </c>
      <c r="O152" s="39" t="e">
        <f t="shared" si="24"/>
        <v>#REF!</v>
      </c>
      <c r="P152" s="39" t="e">
        <f t="shared" si="25"/>
        <v>#REF!</v>
      </c>
      <c r="Q152" s="39" t="e">
        <f t="shared" si="26"/>
        <v>#REF!</v>
      </c>
      <c r="R152" s="40" t="e">
        <f t="shared" si="27"/>
        <v>#REF!</v>
      </c>
      <c r="S152" s="40" t="e">
        <f t="shared" si="28"/>
        <v>#REF!</v>
      </c>
      <c r="T152" s="40" t="e">
        <f t="shared" si="31"/>
        <v>#REF!</v>
      </c>
      <c r="U152" s="39" t="e">
        <f t="shared" si="22"/>
        <v>#REF!</v>
      </c>
      <c r="V152" s="139" t="e">
        <f t="shared" si="29"/>
        <v>#REF!</v>
      </c>
    </row>
    <row r="153" spans="1:22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38">
        <f t="shared" si="30"/>
        <v>14.299999999999965</v>
      </c>
      <c r="N153" s="39" t="e">
        <f t="shared" si="23"/>
        <v>#REF!</v>
      </c>
      <c r="O153" s="39" t="e">
        <f t="shared" si="24"/>
        <v>#REF!</v>
      </c>
      <c r="P153" s="39" t="e">
        <f t="shared" si="25"/>
        <v>#REF!</v>
      </c>
      <c r="Q153" s="39" t="e">
        <f t="shared" si="26"/>
        <v>#REF!</v>
      </c>
      <c r="R153" s="40" t="e">
        <f t="shared" si="27"/>
        <v>#REF!</v>
      </c>
      <c r="S153" s="40" t="e">
        <f t="shared" si="28"/>
        <v>#REF!</v>
      </c>
      <c r="T153" s="40" t="e">
        <f t="shared" si="31"/>
        <v>#REF!</v>
      </c>
      <c r="U153" s="39" t="e">
        <f t="shared" si="22"/>
        <v>#REF!</v>
      </c>
      <c r="V153" s="139" t="e">
        <f t="shared" si="29"/>
        <v>#REF!</v>
      </c>
    </row>
    <row r="154" spans="1:22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38">
        <f t="shared" si="30"/>
        <v>14.399999999999965</v>
      </c>
      <c r="N154" s="39" t="e">
        <f t="shared" si="23"/>
        <v>#REF!</v>
      </c>
      <c r="O154" s="39" t="e">
        <f t="shared" si="24"/>
        <v>#REF!</v>
      </c>
      <c r="P154" s="39" t="e">
        <f t="shared" si="25"/>
        <v>#REF!</v>
      </c>
      <c r="Q154" s="39" t="e">
        <f t="shared" si="26"/>
        <v>#REF!</v>
      </c>
      <c r="R154" s="40" t="e">
        <f t="shared" si="27"/>
        <v>#REF!</v>
      </c>
      <c r="S154" s="40" t="e">
        <f t="shared" si="28"/>
        <v>#REF!</v>
      </c>
      <c r="T154" s="40" t="e">
        <f t="shared" si="31"/>
        <v>#REF!</v>
      </c>
      <c r="U154" s="39" t="e">
        <f t="shared" si="22"/>
        <v>#REF!</v>
      </c>
      <c r="V154" s="139" t="e">
        <f t="shared" si="29"/>
        <v>#REF!</v>
      </c>
    </row>
    <row r="155" spans="1:22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38">
        <f t="shared" si="30"/>
        <v>14.499999999999964</v>
      </c>
      <c r="N155" s="39" t="e">
        <f t="shared" si="23"/>
        <v>#REF!</v>
      </c>
      <c r="O155" s="39" t="e">
        <f t="shared" si="24"/>
        <v>#REF!</v>
      </c>
      <c r="P155" s="39" t="e">
        <f t="shared" si="25"/>
        <v>#REF!</v>
      </c>
      <c r="Q155" s="39" t="e">
        <f t="shared" si="26"/>
        <v>#REF!</v>
      </c>
      <c r="R155" s="40" t="e">
        <f t="shared" si="27"/>
        <v>#REF!</v>
      </c>
      <c r="S155" s="40" t="e">
        <f t="shared" si="28"/>
        <v>#REF!</v>
      </c>
      <c r="T155" s="40" t="e">
        <f t="shared" si="31"/>
        <v>#REF!</v>
      </c>
      <c r="U155" s="39" t="e">
        <f t="shared" si="22"/>
        <v>#REF!</v>
      </c>
      <c r="V155" s="139" t="e">
        <f t="shared" si="29"/>
        <v>#REF!</v>
      </c>
    </row>
    <row r="156" spans="1:22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38">
        <f t="shared" si="30"/>
        <v>14.599999999999964</v>
      </c>
      <c r="N156" s="39" t="e">
        <f t="shared" si="23"/>
        <v>#REF!</v>
      </c>
      <c r="O156" s="39" t="e">
        <f t="shared" si="24"/>
        <v>#REF!</v>
      </c>
      <c r="P156" s="39" t="e">
        <f t="shared" si="25"/>
        <v>#REF!</v>
      </c>
      <c r="Q156" s="39" t="e">
        <f t="shared" si="26"/>
        <v>#REF!</v>
      </c>
      <c r="R156" s="40" t="e">
        <f t="shared" si="27"/>
        <v>#REF!</v>
      </c>
      <c r="S156" s="40" t="e">
        <f t="shared" si="28"/>
        <v>#REF!</v>
      </c>
      <c r="T156" s="40" t="e">
        <f t="shared" si="31"/>
        <v>#REF!</v>
      </c>
      <c r="U156" s="39" t="e">
        <f t="shared" si="22"/>
        <v>#REF!</v>
      </c>
      <c r="V156" s="139" t="e">
        <f t="shared" si="29"/>
        <v>#REF!</v>
      </c>
    </row>
    <row r="157" spans="1:22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38">
        <f t="shared" si="30"/>
        <v>14.699999999999964</v>
      </c>
      <c r="N157" s="39" t="e">
        <f t="shared" si="23"/>
        <v>#REF!</v>
      </c>
      <c r="O157" s="39" t="e">
        <f t="shared" si="24"/>
        <v>#REF!</v>
      </c>
      <c r="P157" s="39" t="e">
        <f t="shared" si="25"/>
        <v>#REF!</v>
      </c>
      <c r="Q157" s="39" t="e">
        <f t="shared" si="26"/>
        <v>#REF!</v>
      </c>
      <c r="R157" s="40" t="e">
        <f t="shared" si="27"/>
        <v>#REF!</v>
      </c>
      <c r="S157" s="40" t="e">
        <f t="shared" si="28"/>
        <v>#REF!</v>
      </c>
      <c r="T157" s="40" t="e">
        <f t="shared" si="31"/>
        <v>#REF!</v>
      </c>
      <c r="U157" s="39" t="e">
        <f t="shared" si="22"/>
        <v>#REF!</v>
      </c>
      <c r="V157" s="139" t="e">
        <f t="shared" si="29"/>
        <v>#REF!</v>
      </c>
    </row>
    <row r="158" spans="1:22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31"/>
      <c r="M158" s="38">
        <f t="shared" si="30"/>
        <v>14.799999999999963</v>
      </c>
      <c r="N158" s="39" t="e">
        <f t="shared" si="23"/>
        <v>#REF!</v>
      </c>
      <c r="O158" s="39" t="e">
        <f t="shared" si="24"/>
        <v>#REF!</v>
      </c>
      <c r="P158" s="39" t="e">
        <f t="shared" si="25"/>
        <v>#REF!</v>
      </c>
      <c r="Q158" s="39" t="e">
        <f t="shared" si="26"/>
        <v>#REF!</v>
      </c>
      <c r="R158" s="40" t="e">
        <f t="shared" si="27"/>
        <v>#REF!</v>
      </c>
      <c r="S158" s="40" t="e">
        <f t="shared" si="28"/>
        <v>#REF!</v>
      </c>
      <c r="T158" s="40" t="e">
        <f t="shared" si="31"/>
        <v>#REF!</v>
      </c>
      <c r="U158" s="39" t="e">
        <f t="shared" si="22"/>
        <v>#REF!</v>
      </c>
      <c r="V158" s="139" t="e">
        <f t="shared" si="29"/>
        <v>#REF!</v>
      </c>
    </row>
    <row r="159" spans="1:22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38">
        <f t="shared" si="30"/>
        <v>14.899999999999963</v>
      </c>
      <c r="N159" s="39" t="e">
        <f t="shared" si="23"/>
        <v>#REF!</v>
      </c>
      <c r="O159" s="39" t="e">
        <f t="shared" si="24"/>
        <v>#REF!</v>
      </c>
      <c r="P159" s="39" t="e">
        <f t="shared" si="25"/>
        <v>#REF!</v>
      </c>
      <c r="Q159" s="39" t="e">
        <f t="shared" si="26"/>
        <v>#REF!</v>
      </c>
      <c r="R159" s="40" t="e">
        <f t="shared" si="27"/>
        <v>#REF!</v>
      </c>
      <c r="S159" s="40" t="e">
        <f t="shared" si="28"/>
        <v>#REF!</v>
      </c>
      <c r="T159" s="40" t="e">
        <f t="shared" si="31"/>
        <v>#REF!</v>
      </c>
      <c r="U159" s="39" t="e">
        <f t="shared" si="22"/>
        <v>#REF!</v>
      </c>
      <c r="V159" s="139" t="e">
        <f t="shared" si="29"/>
        <v>#REF!</v>
      </c>
    </row>
    <row r="160" spans="1:22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38">
        <f t="shared" si="30"/>
        <v>14.999999999999963</v>
      </c>
      <c r="N160" s="39" t="e">
        <f t="shared" si="23"/>
        <v>#REF!</v>
      </c>
      <c r="O160" s="39" t="e">
        <f t="shared" si="24"/>
        <v>#REF!</v>
      </c>
      <c r="P160" s="39" t="e">
        <f t="shared" si="25"/>
        <v>#REF!</v>
      </c>
      <c r="Q160" s="39" t="e">
        <f t="shared" si="26"/>
        <v>#REF!</v>
      </c>
      <c r="R160" s="40" t="e">
        <f t="shared" si="27"/>
        <v>#REF!</v>
      </c>
      <c r="S160" s="40" t="e">
        <f t="shared" si="28"/>
        <v>#REF!</v>
      </c>
      <c r="T160" s="40" t="e">
        <f t="shared" si="31"/>
        <v>#REF!</v>
      </c>
      <c r="U160" s="39" t="e">
        <f t="shared" si="22"/>
        <v>#REF!</v>
      </c>
      <c r="V160" s="139" t="e">
        <f t="shared" si="29"/>
        <v>#REF!</v>
      </c>
    </row>
    <row r="161" spans="1:2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38">
        <f t="shared" si="30"/>
        <v>15.099999999999962</v>
      </c>
      <c r="N161" s="39" t="e">
        <f t="shared" si="23"/>
        <v>#REF!</v>
      </c>
      <c r="O161" s="39" t="e">
        <f t="shared" si="24"/>
        <v>#REF!</v>
      </c>
      <c r="P161" s="39" t="e">
        <f t="shared" si="25"/>
        <v>#REF!</v>
      </c>
      <c r="Q161" s="39" t="e">
        <f t="shared" si="26"/>
        <v>#REF!</v>
      </c>
      <c r="R161" s="40" t="e">
        <f t="shared" si="27"/>
        <v>#REF!</v>
      </c>
      <c r="S161" s="40" t="e">
        <f t="shared" si="28"/>
        <v>#REF!</v>
      </c>
      <c r="T161" s="40" t="e">
        <f t="shared" si="31"/>
        <v>#REF!</v>
      </c>
      <c r="U161" s="39" t="e">
        <f t="shared" si="22"/>
        <v>#REF!</v>
      </c>
      <c r="V161" s="139" t="e">
        <f t="shared" si="29"/>
        <v>#REF!</v>
      </c>
    </row>
    <row r="162" spans="1:2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38">
        <f t="shared" si="30"/>
        <v>15.199999999999962</v>
      </c>
      <c r="N162" s="39" t="e">
        <f t="shared" si="23"/>
        <v>#REF!</v>
      </c>
      <c r="O162" s="39" t="e">
        <f t="shared" si="24"/>
        <v>#REF!</v>
      </c>
      <c r="P162" s="39" t="e">
        <f t="shared" si="25"/>
        <v>#REF!</v>
      </c>
      <c r="Q162" s="39" t="e">
        <f t="shared" si="26"/>
        <v>#REF!</v>
      </c>
      <c r="R162" s="40" t="e">
        <f t="shared" si="27"/>
        <v>#REF!</v>
      </c>
      <c r="S162" s="40" t="e">
        <f t="shared" si="28"/>
        <v>#REF!</v>
      </c>
      <c r="T162" s="40" t="e">
        <f t="shared" si="31"/>
        <v>#REF!</v>
      </c>
      <c r="U162" s="39" t="e">
        <f t="shared" si="22"/>
        <v>#REF!</v>
      </c>
      <c r="V162" s="139" t="e">
        <f t="shared" si="29"/>
        <v>#REF!</v>
      </c>
    </row>
    <row r="163" spans="1:2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38">
        <f t="shared" si="30"/>
        <v>15.299999999999962</v>
      </c>
      <c r="N163" s="39" t="e">
        <f t="shared" si="23"/>
        <v>#REF!</v>
      </c>
      <c r="O163" s="39" t="e">
        <f t="shared" si="24"/>
        <v>#REF!</v>
      </c>
      <c r="P163" s="39" t="e">
        <f t="shared" si="25"/>
        <v>#REF!</v>
      </c>
      <c r="Q163" s="39" t="e">
        <f t="shared" si="26"/>
        <v>#REF!</v>
      </c>
      <c r="R163" s="40" t="e">
        <f t="shared" si="27"/>
        <v>#REF!</v>
      </c>
      <c r="S163" s="40" t="e">
        <f t="shared" si="28"/>
        <v>#REF!</v>
      </c>
      <c r="T163" s="40" t="e">
        <f t="shared" si="31"/>
        <v>#REF!</v>
      </c>
      <c r="U163" s="39" t="e">
        <f t="shared" si="22"/>
        <v>#REF!</v>
      </c>
      <c r="V163" s="139" t="e">
        <f t="shared" si="29"/>
        <v>#REF!</v>
      </c>
    </row>
    <row r="164" spans="1:2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38">
        <f t="shared" si="30"/>
        <v>15.399999999999961</v>
      </c>
      <c r="N164" s="39" t="e">
        <f t="shared" si="23"/>
        <v>#REF!</v>
      </c>
      <c r="O164" s="39" t="e">
        <f t="shared" si="24"/>
        <v>#REF!</v>
      </c>
      <c r="P164" s="39" t="e">
        <f t="shared" si="25"/>
        <v>#REF!</v>
      </c>
      <c r="Q164" s="39" t="e">
        <f t="shared" si="26"/>
        <v>#REF!</v>
      </c>
      <c r="R164" s="40" t="e">
        <f t="shared" si="27"/>
        <v>#REF!</v>
      </c>
      <c r="S164" s="40" t="e">
        <f t="shared" si="28"/>
        <v>#REF!</v>
      </c>
      <c r="T164" s="40" t="e">
        <f t="shared" si="31"/>
        <v>#REF!</v>
      </c>
      <c r="U164" s="39" t="e">
        <f t="shared" si="22"/>
        <v>#REF!</v>
      </c>
      <c r="V164" s="139" t="e">
        <f t="shared" si="29"/>
        <v>#REF!</v>
      </c>
    </row>
    <row r="165" spans="1:2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38">
        <f t="shared" si="30"/>
        <v>15.499999999999961</v>
      </c>
      <c r="N165" s="39" t="e">
        <f t="shared" si="23"/>
        <v>#REF!</v>
      </c>
      <c r="O165" s="39" t="e">
        <f t="shared" si="24"/>
        <v>#REF!</v>
      </c>
      <c r="P165" s="39" t="e">
        <f t="shared" si="25"/>
        <v>#REF!</v>
      </c>
      <c r="Q165" s="39" t="e">
        <f t="shared" si="26"/>
        <v>#REF!</v>
      </c>
      <c r="R165" s="40" t="e">
        <f t="shared" si="27"/>
        <v>#REF!</v>
      </c>
      <c r="S165" s="40" t="e">
        <f t="shared" si="28"/>
        <v>#REF!</v>
      </c>
      <c r="T165" s="40" t="e">
        <f t="shared" si="31"/>
        <v>#REF!</v>
      </c>
      <c r="U165" s="39" t="e">
        <f t="shared" si="22"/>
        <v>#REF!</v>
      </c>
      <c r="V165" s="139" t="e">
        <f t="shared" si="29"/>
        <v>#REF!</v>
      </c>
    </row>
    <row r="166" spans="1:2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38">
        <f t="shared" si="30"/>
        <v>15.599999999999961</v>
      </c>
      <c r="N166" s="39" t="e">
        <f t="shared" si="23"/>
        <v>#REF!</v>
      </c>
      <c r="O166" s="39" t="e">
        <f t="shared" si="24"/>
        <v>#REF!</v>
      </c>
      <c r="P166" s="39" t="e">
        <f t="shared" si="25"/>
        <v>#REF!</v>
      </c>
      <c r="Q166" s="39" t="e">
        <f t="shared" si="26"/>
        <v>#REF!</v>
      </c>
      <c r="R166" s="40" t="e">
        <f t="shared" si="27"/>
        <v>#REF!</v>
      </c>
      <c r="S166" s="40" t="e">
        <f t="shared" si="28"/>
        <v>#REF!</v>
      </c>
      <c r="T166" s="40" t="e">
        <f t="shared" si="31"/>
        <v>#REF!</v>
      </c>
      <c r="U166" s="39" t="e">
        <f t="shared" si="22"/>
        <v>#REF!</v>
      </c>
      <c r="V166" s="139" t="e">
        <f t="shared" si="29"/>
        <v>#REF!</v>
      </c>
    </row>
    <row r="167" spans="1:2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38">
        <f t="shared" si="30"/>
        <v>15.69999999999996</v>
      </c>
      <c r="N167" s="39" t="e">
        <f t="shared" si="23"/>
        <v>#REF!</v>
      </c>
      <c r="O167" s="39" t="e">
        <f t="shared" si="24"/>
        <v>#REF!</v>
      </c>
      <c r="P167" s="39" t="e">
        <f t="shared" si="25"/>
        <v>#REF!</v>
      </c>
      <c r="Q167" s="39" t="e">
        <f t="shared" si="26"/>
        <v>#REF!</v>
      </c>
      <c r="R167" s="40" t="e">
        <f t="shared" si="27"/>
        <v>#REF!</v>
      </c>
      <c r="S167" s="40" t="e">
        <f t="shared" si="28"/>
        <v>#REF!</v>
      </c>
      <c r="T167" s="40" t="e">
        <f t="shared" si="31"/>
        <v>#REF!</v>
      </c>
      <c r="U167" s="39" t="e">
        <f t="shared" si="22"/>
        <v>#REF!</v>
      </c>
      <c r="V167" s="139" t="e">
        <f t="shared" si="29"/>
        <v>#REF!</v>
      </c>
    </row>
    <row r="168" spans="1:2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38">
        <f t="shared" si="30"/>
        <v>15.79999999999996</v>
      </c>
      <c r="N168" s="39" t="e">
        <f t="shared" si="23"/>
        <v>#REF!</v>
      </c>
      <c r="O168" s="39" t="e">
        <f t="shared" si="24"/>
        <v>#REF!</v>
      </c>
      <c r="P168" s="39" t="e">
        <f t="shared" si="25"/>
        <v>#REF!</v>
      </c>
      <c r="Q168" s="39" t="e">
        <f t="shared" si="26"/>
        <v>#REF!</v>
      </c>
      <c r="R168" s="40" t="e">
        <f t="shared" si="27"/>
        <v>#REF!</v>
      </c>
      <c r="S168" s="40" t="e">
        <f t="shared" si="28"/>
        <v>#REF!</v>
      </c>
      <c r="T168" s="40" t="e">
        <f t="shared" si="31"/>
        <v>#REF!</v>
      </c>
      <c r="U168" s="39" t="e">
        <f t="shared" si="22"/>
        <v>#REF!</v>
      </c>
      <c r="V168" s="139" t="e">
        <f t="shared" si="29"/>
        <v>#REF!</v>
      </c>
    </row>
    <row r="169" spans="1:2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38">
        <f t="shared" si="30"/>
        <v>15.899999999999959</v>
      </c>
      <c r="N169" s="39" t="e">
        <f t="shared" si="23"/>
        <v>#REF!</v>
      </c>
      <c r="O169" s="39" t="e">
        <f t="shared" si="24"/>
        <v>#REF!</v>
      </c>
      <c r="P169" s="39" t="e">
        <f t="shared" si="25"/>
        <v>#REF!</v>
      </c>
      <c r="Q169" s="39" t="e">
        <f t="shared" si="26"/>
        <v>#REF!</v>
      </c>
      <c r="R169" s="40" t="e">
        <f t="shared" si="27"/>
        <v>#REF!</v>
      </c>
      <c r="S169" s="40" t="e">
        <f t="shared" si="28"/>
        <v>#REF!</v>
      </c>
      <c r="T169" s="40" t="e">
        <f t="shared" si="31"/>
        <v>#REF!</v>
      </c>
      <c r="U169" s="39" t="e">
        <f t="shared" si="22"/>
        <v>#REF!</v>
      </c>
      <c r="V169" s="139" t="e">
        <f t="shared" si="29"/>
        <v>#REF!</v>
      </c>
    </row>
    <row r="170" spans="1:2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38">
        <f t="shared" si="30"/>
        <v>15.999999999999959</v>
      </c>
      <c r="N170" s="39" t="e">
        <f t="shared" si="23"/>
        <v>#REF!</v>
      </c>
      <c r="O170" s="39" t="e">
        <f t="shared" si="24"/>
        <v>#REF!</v>
      </c>
      <c r="P170" s="39" t="e">
        <f t="shared" si="25"/>
        <v>#REF!</v>
      </c>
      <c r="Q170" s="39" t="e">
        <f t="shared" si="26"/>
        <v>#REF!</v>
      </c>
      <c r="R170" s="40" t="e">
        <f t="shared" si="27"/>
        <v>#REF!</v>
      </c>
      <c r="S170" s="40" t="e">
        <f t="shared" si="28"/>
        <v>#REF!</v>
      </c>
      <c r="T170" s="40" t="e">
        <f t="shared" si="31"/>
        <v>#REF!</v>
      </c>
      <c r="U170" s="39" t="e">
        <f t="shared" si="22"/>
        <v>#REF!</v>
      </c>
      <c r="V170" s="139" t="e">
        <f t="shared" si="29"/>
        <v>#REF!</v>
      </c>
    </row>
    <row r="171" spans="1:2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38">
        <f t="shared" si="30"/>
        <v>16.099999999999959</v>
      </c>
      <c r="N171" s="39" t="e">
        <f t="shared" si="23"/>
        <v>#REF!</v>
      </c>
      <c r="O171" s="39" t="e">
        <f t="shared" si="24"/>
        <v>#REF!</v>
      </c>
      <c r="P171" s="39" t="e">
        <f t="shared" si="25"/>
        <v>#REF!</v>
      </c>
      <c r="Q171" s="39" t="e">
        <f t="shared" si="26"/>
        <v>#REF!</v>
      </c>
      <c r="R171" s="40" t="e">
        <f t="shared" si="27"/>
        <v>#REF!</v>
      </c>
      <c r="S171" s="40" t="e">
        <f t="shared" si="28"/>
        <v>#REF!</v>
      </c>
      <c r="T171" s="40" t="e">
        <f t="shared" si="31"/>
        <v>#REF!</v>
      </c>
      <c r="U171" s="39" t="e">
        <f t="shared" si="22"/>
        <v>#REF!</v>
      </c>
      <c r="V171" s="139" t="e">
        <f t="shared" si="29"/>
        <v>#REF!</v>
      </c>
    </row>
    <row r="172" spans="1:2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38">
        <f t="shared" si="30"/>
        <v>16.19999999999996</v>
      </c>
      <c r="N172" s="39" t="e">
        <f t="shared" si="23"/>
        <v>#REF!</v>
      </c>
      <c r="O172" s="39" t="e">
        <f t="shared" si="24"/>
        <v>#REF!</v>
      </c>
      <c r="P172" s="39" t="e">
        <f t="shared" si="25"/>
        <v>#REF!</v>
      </c>
      <c r="Q172" s="39" t="e">
        <f t="shared" si="26"/>
        <v>#REF!</v>
      </c>
      <c r="R172" s="40" t="e">
        <f t="shared" si="27"/>
        <v>#REF!</v>
      </c>
      <c r="S172" s="40" t="e">
        <f t="shared" si="28"/>
        <v>#REF!</v>
      </c>
      <c r="T172" s="40" t="e">
        <f t="shared" si="31"/>
        <v>#REF!</v>
      </c>
      <c r="U172" s="39" t="e">
        <f t="shared" si="22"/>
        <v>#REF!</v>
      </c>
      <c r="V172" s="139" t="e">
        <f t="shared" si="29"/>
        <v>#REF!</v>
      </c>
    </row>
    <row r="173" spans="1:2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38">
        <f t="shared" si="30"/>
        <v>16.299999999999962</v>
      </c>
      <c r="N173" s="39" t="e">
        <f t="shared" si="23"/>
        <v>#REF!</v>
      </c>
      <c r="O173" s="39" t="e">
        <f t="shared" si="24"/>
        <v>#REF!</v>
      </c>
      <c r="P173" s="39" t="e">
        <f t="shared" si="25"/>
        <v>#REF!</v>
      </c>
      <c r="Q173" s="39" t="e">
        <f t="shared" si="26"/>
        <v>#REF!</v>
      </c>
      <c r="R173" s="40" t="e">
        <f t="shared" si="27"/>
        <v>#REF!</v>
      </c>
      <c r="S173" s="40" t="e">
        <f t="shared" si="28"/>
        <v>#REF!</v>
      </c>
      <c r="T173" s="40" t="e">
        <f t="shared" si="31"/>
        <v>#REF!</v>
      </c>
      <c r="U173" s="39" t="e">
        <f t="shared" si="22"/>
        <v>#REF!</v>
      </c>
      <c r="V173" s="139" t="e">
        <f t="shared" si="29"/>
        <v>#REF!</v>
      </c>
    </row>
    <row r="174" spans="1:2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38">
        <f t="shared" si="30"/>
        <v>16.399999999999963</v>
      </c>
      <c r="N174" s="39" t="e">
        <f t="shared" si="23"/>
        <v>#REF!</v>
      </c>
      <c r="O174" s="39" t="e">
        <f t="shared" si="24"/>
        <v>#REF!</v>
      </c>
      <c r="P174" s="39" t="e">
        <f t="shared" si="25"/>
        <v>#REF!</v>
      </c>
      <c r="Q174" s="39" t="e">
        <f t="shared" si="26"/>
        <v>#REF!</v>
      </c>
      <c r="R174" s="40" t="e">
        <f t="shared" si="27"/>
        <v>#REF!</v>
      </c>
      <c r="S174" s="40" t="e">
        <f t="shared" si="28"/>
        <v>#REF!</v>
      </c>
      <c r="T174" s="40" t="e">
        <f t="shared" si="31"/>
        <v>#REF!</v>
      </c>
      <c r="U174" s="39" t="e">
        <f t="shared" si="22"/>
        <v>#REF!</v>
      </c>
      <c r="V174" s="139" t="e">
        <f t="shared" si="29"/>
        <v>#REF!</v>
      </c>
    </row>
    <row r="175" spans="1:2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38">
        <f t="shared" si="30"/>
        <v>16.499999999999964</v>
      </c>
      <c r="N175" s="39" t="e">
        <f t="shared" si="23"/>
        <v>#REF!</v>
      </c>
      <c r="O175" s="39" t="e">
        <f t="shared" si="24"/>
        <v>#REF!</v>
      </c>
      <c r="P175" s="39" t="e">
        <f t="shared" si="25"/>
        <v>#REF!</v>
      </c>
      <c r="Q175" s="39" t="e">
        <f t="shared" si="26"/>
        <v>#REF!</v>
      </c>
      <c r="R175" s="40" t="e">
        <f t="shared" si="27"/>
        <v>#REF!</v>
      </c>
      <c r="S175" s="40" t="e">
        <f t="shared" si="28"/>
        <v>#REF!</v>
      </c>
      <c r="T175" s="40" t="e">
        <f t="shared" si="31"/>
        <v>#REF!</v>
      </c>
      <c r="U175" s="39" t="e">
        <f t="shared" si="22"/>
        <v>#REF!</v>
      </c>
      <c r="V175" s="139" t="e">
        <f t="shared" si="29"/>
        <v>#REF!</v>
      </c>
    </row>
    <row r="176" spans="1:2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38">
        <f t="shared" si="30"/>
        <v>16.599999999999966</v>
      </c>
      <c r="N176" s="39" t="e">
        <f t="shared" si="23"/>
        <v>#REF!</v>
      </c>
      <c r="O176" s="39" t="e">
        <f t="shared" si="24"/>
        <v>#REF!</v>
      </c>
      <c r="P176" s="39" t="e">
        <f t="shared" si="25"/>
        <v>#REF!</v>
      </c>
      <c r="Q176" s="39" t="e">
        <f t="shared" si="26"/>
        <v>#REF!</v>
      </c>
      <c r="R176" s="40" t="e">
        <f t="shared" si="27"/>
        <v>#REF!</v>
      </c>
      <c r="S176" s="40" t="e">
        <f t="shared" si="28"/>
        <v>#REF!</v>
      </c>
      <c r="T176" s="40" t="e">
        <f t="shared" si="31"/>
        <v>#REF!</v>
      </c>
      <c r="U176" s="39" t="e">
        <f t="shared" si="22"/>
        <v>#REF!</v>
      </c>
      <c r="V176" s="139" t="e">
        <f t="shared" si="29"/>
        <v>#REF!</v>
      </c>
    </row>
    <row r="177" spans="1:2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38">
        <f t="shared" si="30"/>
        <v>16.699999999999967</v>
      </c>
      <c r="N177" s="39" t="e">
        <f>(1/(ESchiene*ISchiene))*((Achslast_4*10^3/2)/(8*(1/Lelastisch)^3)*EXP(-(1/Lelastisch)*ABS(M177-x4_)*10^3)*(COS(ABS(M177-x4_)*10^3/Lelastisch)+SIN(ABS(M177-x4_)*10^3/Lelastisch))+(Achslast_3*10^3/2)/(8*(1/Lelastisch)^3)*EXP(-(1/Lelastisch)*ABS(M177-x_3)*10^3)*(COS(ABS(M177-x_3)*10^3/Lelastisch)+SIN(ABS(M177-x_3)*10^3/Lelastisch))+(Achslast_2*10^3/2)/(8*(1/Lelastisch)^3)*EXP(-(1/Lelastisch)*ABS(M177-x_2)*10^3)*(COS(ABS(M177-x_2)*10^3/Lelastisch)+SIN(ABS(M177-x_2)*10^3/Lelastisch))+(Achslast_1*10^3/2)/(8*(1/Lelastisch)^3)*EXP(-(1/Lelastisch)*ABS(M177-x_1)*10^3)*(COS(ABS(M177-x_1)*10^3/Lelastisch)+SIN(ABS(M177-x_1)*10^3/Lelastisch)))</f>
        <v>#REF!</v>
      </c>
      <c r="O177" s="39" t="e">
        <f t="shared" si="24"/>
        <v>#REF!</v>
      </c>
      <c r="P177" s="39" t="e">
        <f t="shared" si="25"/>
        <v>#REF!</v>
      </c>
      <c r="Q177" s="39" t="e">
        <f t="shared" si="26"/>
        <v>#REF!</v>
      </c>
      <c r="R177" s="40" t="e">
        <f t="shared" si="27"/>
        <v>#REF!</v>
      </c>
      <c r="S177" s="40" t="e">
        <f t="shared" si="28"/>
        <v>#REF!</v>
      </c>
      <c r="T177" s="40" t="e">
        <f t="shared" si="31"/>
        <v>#REF!</v>
      </c>
      <c r="U177" s="39" t="e">
        <f t="shared" si="22"/>
        <v>#REF!</v>
      </c>
      <c r="V177" s="139" t="e">
        <f t="shared" si="29"/>
        <v>#REF!</v>
      </c>
    </row>
    <row r="178" spans="1:2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38">
        <f t="shared" si="30"/>
        <v>16.799999999999969</v>
      </c>
      <c r="N178" s="39" t="e">
        <f t="shared" si="23"/>
        <v>#REF!</v>
      </c>
      <c r="O178" s="39" t="e">
        <f t="shared" si="24"/>
        <v>#REF!</v>
      </c>
      <c r="P178" s="39" t="e">
        <f t="shared" si="25"/>
        <v>#REF!</v>
      </c>
      <c r="Q178" s="39" t="e">
        <f t="shared" si="26"/>
        <v>#REF!</v>
      </c>
      <c r="R178" s="40" t="e">
        <f t="shared" si="27"/>
        <v>#REF!</v>
      </c>
      <c r="S178" s="40" t="e">
        <f t="shared" si="28"/>
        <v>#REF!</v>
      </c>
      <c r="T178" s="40" t="e">
        <f t="shared" si="31"/>
        <v>#REF!</v>
      </c>
      <c r="U178" s="39" t="e">
        <f t="shared" si="22"/>
        <v>#REF!</v>
      </c>
      <c r="V178" s="139" t="e">
        <f t="shared" si="29"/>
        <v>#REF!</v>
      </c>
    </row>
    <row r="179" spans="1:2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38">
        <f t="shared" si="30"/>
        <v>16.89999999999997</v>
      </c>
      <c r="N179" s="39" t="e">
        <f t="shared" si="23"/>
        <v>#REF!</v>
      </c>
      <c r="O179" s="39" t="e">
        <f t="shared" si="24"/>
        <v>#REF!</v>
      </c>
      <c r="P179" s="39" t="e">
        <f t="shared" si="25"/>
        <v>#REF!</v>
      </c>
      <c r="Q179" s="39" t="e">
        <f t="shared" si="26"/>
        <v>#REF!</v>
      </c>
      <c r="R179" s="40" t="e">
        <f t="shared" si="27"/>
        <v>#REF!</v>
      </c>
      <c r="S179" s="40" t="e">
        <f t="shared" si="28"/>
        <v>#REF!</v>
      </c>
      <c r="T179" s="40" t="e">
        <f t="shared" si="31"/>
        <v>#REF!</v>
      </c>
      <c r="U179" s="39" t="e">
        <f t="shared" si="22"/>
        <v>#REF!</v>
      </c>
      <c r="V179" s="139" t="e">
        <f t="shared" si="29"/>
        <v>#REF!</v>
      </c>
    </row>
    <row r="180" spans="1:2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38">
        <f t="shared" si="30"/>
        <v>16.999999999999972</v>
      </c>
      <c r="N180" s="39" t="e">
        <f t="shared" si="23"/>
        <v>#REF!</v>
      </c>
      <c r="O180" s="39" t="e">
        <f t="shared" si="24"/>
        <v>#REF!</v>
      </c>
      <c r="P180" s="39" t="e">
        <f t="shared" si="25"/>
        <v>#REF!</v>
      </c>
      <c r="Q180" s="39" t="e">
        <f t="shared" si="26"/>
        <v>#REF!</v>
      </c>
      <c r="R180" s="40" t="e">
        <f t="shared" si="27"/>
        <v>#REF!</v>
      </c>
      <c r="S180" s="40" t="e">
        <f t="shared" si="28"/>
        <v>#REF!</v>
      </c>
      <c r="T180" s="40" t="e">
        <f t="shared" si="31"/>
        <v>#REF!</v>
      </c>
      <c r="U180" s="39" t="e">
        <f t="shared" si="22"/>
        <v>#REF!</v>
      </c>
      <c r="V180" s="139" t="e">
        <f t="shared" si="29"/>
        <v>#REF!</v>
      </c>
    </row>
    <row r="181" spans="1:2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38">
        <f t="shared" si="30"/>
        <v>17.099999999999973</v>
      </c>
      <c r="N181" s="39" t="e">
        <f t="shared" si="23"/>
        <v>#REF!</v>
      </c>
      <c r="O181" s="39" t="e">
        <f t="shared" si="24"/>
        <v>#REF!</v>
      </c>
      <c r="P181" s="39" t="e">
        <f t="shared" si="25"/>
        <v>#REF!</v>
      </c>
      <c r="Q181" s="39" t="e">
        <f t="shared" si="26"/>
        <v>#REF!</v>
      </c>
      <c r="R181" s="40" t="e">
        <f t="shared" si="27"/>
        <v>#REF!</v>
      </c>
      <c r="S181" s="40" t="e">
        <f t="shared" si="28"/>
        <v>#REF!</v>
      </c>
      <c r="T181" s="40" t="e">
        <f t="shared" si="31"/>
        <v>#REF!</v>
      </c>
      <c r="U181" s="39" t="e">
        <f t="shared" si="22"/>
        <v>#REF!</v>
      </c>
      <c r="V181" s="139" t="e">
        <f t="shared" si="29"/>
        <v>#REF!</v>
      </c>
    </row>
    <row r="182" spans="1:2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38">
        <f t="shared" si="30"/>
        <v>17.199999999999974</v>
      </c>
      <c r="N182" s="39" t="e">
        <f t="shared" si="23"/>
        <v>#REF!</v>
      </c>
      <c r="O182" s="39" t="e">
        <f t="shared" si="24"/>
        <v>#REF!</v>
      </c>
      <c r="P182" s="39" t="e">
        <f t="shared" si="25"/>
        <v>#REF!</v>
      </c>
      <c r="Q182" s="39" t="e">
        <f t="shared" si="26"/>
        <v>#REF!</v>
      </c>
      <c r="R182" s="40" t="e">
        <f t="shared" si="27"/>
        <v>#REF!</v>
      </c>
      <c r="S182" s="40" t="e">
        <f t="shared" si="28"/>
        <v>#REF!</v>
      </c>
      <c r="T182" s="40" t="e">
        <f t="shared" si="31"/>
        <v>#REF!</v>
      </c>
      <c r="U182" s="39" t="e">
        <f t="shared" si="22"/>
        <v>#REF!</v>
      </c>
      <c r="V182" s="139" t="e">
        <f t="shared" si="29"/>
        <v>#REF!</v>
      </c>
    </row>
    <row r="183" spans="1:2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38">
        <f t="shared" si="30"/>
        <v>17.299999999999976</v>
      </c>
      <c r="N183" s="39" t="e">
        <f t="shared" si="23"/>
        <v>#REF!</v>
      </c>
      <c r="O183" s="39" t="e">
        <f t="shared" si="24"/>
        <v>#REF!</v>
      </c>
      <c r="P183" s="39" t="e">
        <f t="shared" si="25"/>
        <v>#REF!</v>
      </c>
      <c r="Q183" s="39" t="e">
        <f t="shared" si="26"/>
        <v>#REF!</v>
      </c>
      <c r="R183" s="40" t="e">
        <f t="shared" si="27"/>
        <v>#REF!</v>
      </c>
      <c r="S183" s="40" t="e">
        <f t="shared" si="28"/>
        <v>#REF!</v>
      </c>
      <c r="T183" s="40" t="e">
        <f t="shared" si="31"/>
        <v>#REF!</v>
      </c>
      <c r="U183" s="39" t="e">
        <f t="shared" si="22"/>
        <v>#REF!</v>
      </c>
      <c r="V183" s="139" t="e">
        <f t="shared" si="29"/>
        <v>#REF!</v>
      </c>
    </row>
    <row r="184" spans="1:2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38">
        <f t="shared" si="30"/>
        <v>17.399999999999977</v>
      </c>
      <c r="N184" s="39" t="e">
        <f t="shared" si="23"/>
        <v>#REF!</v>
      </c>
      <c r="O184" s="39" t="e">
        <f t="shared" si="24"/>
        <v>#REF!</v>
      </c>
      <c r="P184" s="39" t="e">
        <f t="shared" si="25"/>
        <v>#REF!</v>
      </c>
      <c r="Q184" s="39" t="e">
        <f t="shared" si="26"/>
        <v>#REF!</v>
      </c>
      <c r="R184" s="40" t="e">
        <f t="shared" si="27"/>
        <v>#REF!</v>
      </c>
      <c r="S184" s="40" t="e">
        <f t="shared" si="28"/>
        <v>#REF!</v>
      </c>
      <c r="T184" s="40" t="e">
        <f t="shared" si="31"/>
        <v>#REF!</v>
      </c>
      <c r="U184" s="39" t="e">
        <f t="shared" si="22"/>
        <v>#REF!</v>
      </c>
      <c r="V184" s="139" t="e">
        <f t="shared" si="29"/>
        <v>#REF!</v>
      </c>
    </row>
    <row r="185" spans="1:2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38">
        <f t="shared" si="30"/>
        <v>17.499999999999979</v>
      </c>
      <c r="N185" s="39" t="e">
        <f t="shared" si="23"/>
        <v>#REF!</v>
      </c>
      <c r="O185" s="39" t="e">
        <f t="shared" si="24"/>
        <v>#REF!</v>
      </c>
      <c r="P185" s="39" t="e">
        <f t="shared" si="25"/>
        <v>#REF!</v>
      </c>
      <c r="Q185" s="39" t="e">
        <f t="shared" si="26"/>
        <v>#REF!</v>
      </c>
      <c r="R185" s="40" t="e">
        <f t="shared" si="27"/>
        <v>#REF!</v>
      </c>
      <c r="S185" s="40" t="e">
        <f t="shared" si="28"/>
        <v>#REF!</v>
      </c>
      <c r="T185" s="40" t="e">
        <f t="shared" si="31"/>
        <v>#REF!</v>
      </c>
      <c r="U185" s="39" t="e">
        <f t="shared" si="22"/>
        <v>#REF!</v>
      </c>
      <c r="V185" s="139" t="e">
        <f t="shared" si="29"/>
        <v>#REF!</v>
      </c>
    </row>
    <row r="186" spans="1:2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38">
        <f t="shared" si="30"/>
        <v>17.59999999999998</v>
      </c>
      <c r="N186" s="39" t="e">
        <f t="shared" si="23"/>
        <v>#REF!</v>
      </c>
      <c r="O186" s="39" t="e">
        <f t="shared" si="24"/>
        <v>#REF!</v>
      </c>
      <c r="P186" s="39" t="e">
        <f t="shared" si="25"/>
        <v>#REF!</v>
      </c>
      <c r="Q186" s="39" t="e">
        <f t="shared" si="26"/>
        <v>#REF!</v>
      </c>
      <c r="R186" s="40" t="e">
        <f t="shared" si="27"/>
        <v>#REF!</v>
      </c>
      <c r="S186" s="40" t="e">
        <f t="shared" si="28"/>
        <v>#REF!</v>
      </c>
      <c r="T186" s="40" t="e">
        <f t="shared" si="31"/>
        <v>#REF!</v>
      </c>
      <c r="U186" s="39" t="e">
        <f t="shared" si="22"/>
        <v>#REF!</v>
      </c>
      <c r="V186" s="139" t="e">
        <f t="shared" si="29"/>
        <v>#REF!</v>
      </c>
    </row>
    <row r="187" spans="1:2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38">
        <f t="shared" si="30"/>
        <v>17.699999999999982</v>
      </c>
      <c r="N187" s="39" t="e">
        <f t="shared" si="23"/>
        <v>#REF!</v>
      </c>
      <c r="O187" s="39" t="e">
        <f t="shared" si="24"/>
        <v>#REF!</v>
      </c>
      <c r="P187" s="39" t="e">
        <f t="shared" si="25"/>
        <v>#REF!</v>
      </c>
      <c r="Q187" s="39" t="e">
        <f t="shared" si="26"/>
        <v>#REF!</v>
      </c>
      <c r="R187" s="40" t="e">
        <f t="shared" si="27"/>
        <v>#REF!</v>
      </c>
      <c r="S187" s="40" t="e">
        <f t="shared" si="28"/>
        <v>#REF!</v>
      </c>
      <c r="T187" s="40" t="e">
        <f t="shared" si="31"/>
        <v>#REF!</v>
      </c>
      <c r="U187" s="39" t="e">
        <f t="shared" si="22"/>
        <v>#REF!</v>
      </c>
      <c r="V187" s="139" t="e">
        <f t="shared" si="29"/>
        <v>#REF!</v>
      </c>
    </row>
    <row r="188" spans="1:2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38">
        <f t="shared" si="30"/>
        <v>17.799999999999983</v>
      </c>
      <c r="N188" s="39" t="e">
        <f t="shared" si="23"/>
        <v>#REF!</v>
      </c>
      <c r="O188" s="39" t="e">
        <f t="shared" si="24"/>
        <v>#REF!</v>
      </c>
      <c r="P188" s="39" t="e">
        <f t="shared" si="25"/>
        <v>#REF!</v>
      </c>
      <c r="Q188" s="39" t="e">
        <f t="shared" si="26"/>
        <v>#REF!</v>
      </c>
      <c r="R188" s="40" t="e">
        <f t="shared" si="27"/>
        <v>#REF!</v>
      </c>
      <c r="S188" s="40" t="e">
        <f t="shared" si="28"/>
        <v>#REF!</v>
      </c>
      <c r="T188" s="40" t="e">
        <f t="shared" si="31"/>
        <v>#REF!</v>
      </c>
      <c r="U188" s="39" t="e">
        <f t="shared" si="22"/>
        <v>#REF!</v>
      </c>
      <c r="V188" s="139" t="e">
        <f t="shared" si="29"/>
        <v>#REF!</v>
      </c>
    </row>
    <row r="189" spans="1:2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38">
        <f t="shared" si="30"/>
        <v>17.899999999999984</v>
      </c>
      <c r="N189" s="39" t="e">
        <f t="shared" si="23"/>
        <v>#REF!</v>
      </c>
      <c r="O189" s="39" t="e">
        <f t="shared" si="24"/>
        <v>#REF!</v>
      </c>
      <c r="P189" s="39" t="e">
        <f t="shared" si="25"/>
        <v>#REF!</v>
      </c>
      <c r="Q189" s="39" t="e">
        <f t="shared" si="26"/>
        <v>#REF!</v>
      </c>
      <c r="R189" s="40" t="e">
        <f t="shared" si="27"/>
        <v>#REF!</v>
      </c>
      <c r="S189" s="40" t="e">
        <f t="shared" si="28"/>
        <v>#REF!</v>
      </c>
      <c r="T189" s="40" t="e">
        <f t="shared" si="31"/>
        <v>#REF!</v>
      </c>
      <c r="U189" s="39" t="e">
        <f t="shared" si="22"/>
        <v>#REF!</v>
      </c>
      <c r="V189" s="139" t="e">
        <f t="shared" si="29"/>
        <v>#REF!</v>
      </c>
    </row>
    <row r="190" spans="1:2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38">
        <f t="shared" si="30"/>
        <v>17.999999999999986</v>
      </c>
      <c r="N190" s="39" t="e">
        <f t="shared" si="23"/>
        <v>#REF!</v>
      </c>
      <c r="O190" s="39" t="e">
        <f t="shared" si="24"/>
        <v>#REF!</v>
      </c>
      <c r="P190" s="39" t="e">
        <f t="shared" si="25"/>
        <v>#REF!</v>
      </c>
      <c r="Q190" s="39" t="e">
        <f t="shared" si="26"/>
        <v>#REF!</v>
      </c>
      <c r="R190" s="40" t="e">
        <f t="shared" si="27"/>
        <v>#REF!</v>
      </c>
      <c r="S190" s="40" t="e">
        <f t="shared" si="28"/>
        <v>#REF!</v>
      </c>
      <c r="T190" s="40" t="e">
        <f t="shared" si="31"/>
        <v>#REF!</v>
      </c>
      <c r="U190" s="39" t="e">
        <f t="shared" si="22"/>
        <v>#REF!</v>
      </c>
      <c r="V190" s="139" t="e">
        <f t="shared" si="29"/>
        <v>#REF!</v>
      </c>
    </row>
    <row r="191" spans="1:2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38">
        <f t="shared" si="30"/>
        <v>18.099999999999987</v>
      </c>
      <c r="N191" s="39" t="e">
        <f t="shared" si="23"/>
        <v>#REF!</v>
      </c>
      <c r="O191" s="39" t="e">
        <f t="shared" si="24"/>
        <v>#REF!</v>
      </c>
      <c r="P191" s="39" t="e">
        <f t="shared" si="25"/>
        <v>#REF!</v>
      </c>
      <c r="Q191" s="39" t="e">
        <f t="shared" si="26"/>
        <v>#REF!</v>
      </c>
      <c r="R191" s="40" t="e">
        <f t="shared" si="27"/>
        <v>#REF!</v>
      </c>
      <c r="S191" s="40" t="e">
        <f t="shared" si="28"/>
        <v>#REF!</v>
      </c>
      <c r="T191" s="40" t="e">
        <f t="shared" si="31"/>
        <v>#REF!</v>
      </c>
      <c r="U191" s="39" t="e">
        <f t="shared" si="22"/>
        <v>#REF!</v>
      </c>
      <c r="V191" s="139" t="e">
        <f t="shared" si="29"/>
        <v>#REF!</v>
      </c>
    </row>
    <row r="192" spans="1:2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38">
        <f t="shared" si="30"/>
        <v>18.199999999999989</v>
      </c>
      <c r="N192" s="39" t="e">
        <f t="shared" si="23"/>
        <v>#REF!</v>
      </c>
      <c r="O192" s="39" t="e">
        <f t="shared" si="24"/>
        <v>#REF!</v>
      </c>
      <c r="P192" s="39" t="e">
        <f t="shared" si="25"/>
        <v>#REF!</v>
      </c>
      <c r="Q192" s="39" t="e">
        <f t="shared" si="26"/>
        <v>#REF!</v>
      </c>
      <c r="R192" s="40" t="e">
        <f t="shared" si="27"/>
        <v>#REF!</v>
      </c>
      <c r="S192" s="40" t="e">
        <f t="shared" si="28"/>
        <v>#REF!</v>
      </c>
      <c r="T192" s="40" t="e">
        <f t="shared" si="31"/>
        <v>#REF!</v>
      </c>
      <c r="U192" s="39" t="e">
        <f t="shared" si="22"/>
        <v>#REF!</v>
      </c>
      <c r="V192" s="139" t="e">
        <f t="shared" si="29"/>
        <v>#REF!</v>
      </c>
    </row>
    <row r="193" spans="1:2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38">
        <f t="shared" si="30"/>
        <v>18.29999999999999</v>
      </c>
      <c r="N193" s="39" t="e">
        <f t="shared" si="23"/>
        <v>#REF!</v>
      </c>
      <c r="O193" s="39" t="e">
        <f t="shared" si="24"/>
        <v>#REF!</v>
      </c>
      <c r="P193" s="39" t="e">
        <f t="shared" si="25"/>
        <v>#REF!</v>
      </c>
      <c r="Q193" s="39" t="e">
        <f t="shared" si="26"/>
        <v>#REF!</v>
      </c>
      <c r="R193" s="40" t="e">
        <f t="shared" si="27"/>
        <v>#REF!</v>
      </c>
      <c r="S193" s="40" t="e">
        <f t="shared" si="28"/>
        <v>#REF!</v>
      </c>
      <c r="T193" s="40" t="e">
        <f t="shared" si="31"/>
        <v>#REF!</v>
      </c>
      <c r="U193" s="39" t="e">
        <f t="shared" si="22"/>
        <v>#REF!</v>
      </c>
      <c r="V193" s="139" t="e">
        <f t="shared" si="29"/>
        <v>#REF!</v>
      </c>
    </row>
    <row r="194" spans="1:2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38">
        <f t="shared" si="30"/>
        <v>18.399999999999991</v>
      </c>
      <c r="N194" s="39" t="e">
        <f t="shared" si="23"/>
        <v>#REF!</v>
      </c>
      <c r="O194" s="39" t="e">
        <f t="shared" si="24"/>
        <v>#REF!</v>
      </c>
      <c r="P194" s="39" t="e">
        <f t="shared" si="25"/>
        <v>#REF!</v>
      </c>
      <c r="Q194" s="39" t="e">
        <f t="shared" si="26"/>
        <v>#REF!</v>
      </c>
      <c r="R194" s="40" t="e">
        <f t="shared" si="27"/>
        <v>#REF!</v>
      </c>
      <c r="S194" s="40" t="e">
        <f t="shared" si="28"/>
        <v>#REF!</v>
      </c>
      <c r="T194" s="40" t="e">
        <f t="shared" si="31"/>
        <v>#REF!</v>
      </c>
      <c r="U194" s="39" t="e">
        <f t="shared" si="22"/>
        <v>#REF!</v>
      </c>
      <c r="V194" s="139" t="e">
        <f t="shared" si="29"/>
        <v>#REF!</v>
      </c>
    </row>
    <row r="195" spans="1:2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38">
        <f t="shared" si="30"/>
        <v>18.499999999999993</v>
      </c>
      <c r="N195" s="39" t="e">
        <f t="shared" si="23"/>
        <v>#REF!</v>
      </c>
      <c r="O195" s="39" t="e">
        <f t="shared" si="24"/>
        <v>#REF!</v>
      </c>
      <c r="P195" s="39" t="e">
        <f t="shared" si="25"/>
        <v>#REF!</v>
      </c>
      <c r="Q195" s="39" t="e">
        <f t="shared" si="26"/>
        <v>#REF!</v>
      </c>
      <c r="R195" s="40" t="e">
        <f t="shared" si="27"/>
        <v>#REF!</v>
      </c>
      <c r="S195" s="40" t="e">
        <f t="shared" si="28"/>
        <v>#REF!</v>
      </c>
      <c r="T195" s="40" t="e">
        <f t="shared" si="31"/>
        <v>#REF!</v>
      </c>
      <c r="U195" s="39" t="e">
        <f t="shared" si="22"/>
        <v>#REF!</v>
      </c>
      <c r="V195" s="139" t="e">
        <f t="shared" si="29"/>
        <v>#REF!</v>
      </c>
    </row>
    <row r="196" spans="1:22">
      <c r="M196" s="38">
        <f t="shared" si="30"/>
        <v>18.599999999999994</v>
      </c>
      <c r="N196" s="139" t="e">
        <f t="shared" si="23"/>
        <v>#REF!</v>
      </c>
      <c r="O196" s="139" t="e">
        <f t="shared" si="24"/>
        <v>#REF!</v>
      </c>
      <c r="P196" s="139" t="e">
        <f t="shared" si="25"/>
        <v>#REF!</v>
      </c>
      <c r="Q196" s="139" t="e">
        <f t="shared" si="26"/>
        <v>#REF!</v>
      </c>
      <c r="R196" s="140" t="e">
        <f t="shared" si="27"/>
        <v>#REF!</v>
      </c>
      <c r="S196" s="140" t="e">
        <f t="shared" si="28"/>
        <v>#REF!</v>
      </c>
      <c r="T196" s="40" t="e">
        <f t="shared" si="31"/>
        <v>#REF!</v>
      </c>
      <c r="U196" s="39" t="e">
        <f t="shared" si="22"/>
        <v>#REF!</v>
      </c>
      <c r="V196" s="139" t="e">
        <f t="shared" si="29"/>
        <v>#REF!</v>
      </c>
    </row>
    <row r="197" spans="1:22">
      <c r="M197" s="38">
        <f t="shared" si="30"/>
        <v>18.699999999999996</v>
      </c>
      <c r="N197" s="139" t="e">
        <f t="shared" si="23"/>
        <v>#REF!</v>
      </c>
      <c r="O197" s="139" t="e">
        <f t="shared" si="24"/>
        <v>#REF!</v>
      </c>
      <c r="P197" s="139" t="e">
        <f t="shared" si="25"/>
        <v>#REF!</v>
      </c>
      <c r="Q197" s="139" t="e">
        <f t="shared" si="26"/>
        <v>#REF!</v>
      </c>
      <c r="R197" s="140" t="e">
        <f t="shared" si="27"/>
        <v>#REF!</v>
      </c>
      <c r="S197" s="140" t="e">
        <f t="shared" si="28"/>
        <v>#REF!</v>
      </c>
      <c r="T197" s="40" t="e">
        <f t="shared" si="31"/>
        <v>#REF!</v>
      </c>
      <c r="U197" s="39" t="e">
        <f t="shared" si="22"/>
        <v>#REF!</v>
      </c>
      <c r="V197" s="139" t="e">
        <f t="shared" si="29"/>
        <v>#REF!</v>
      </c>
    </row>
    <row r="198" spans="1:22">
      <c r="M198" s="38">
        <f t="shared" si="30"/>
        <v>18.799999999999997</v>
      </c>
      <c r="N198" s="139" t="e">
        <f t="shared" si="23"/>
        <v>#REF!</v>
      </c>
      <c r="O198" s="139" t="e">
        <f t="shared" si="24"/>
        <v>#REF!</v>
      </c>
      <c r="P198" s="139" t="e">
        <f t="shared" si="25"/>
        <v>#REF!</v>
      </c>
      <c r="Q198" s="139" t="e">
        <f t="shared" si="26"/>
        <v>#REF!</v>
      </c>
      <c r="R198" s="140" t="e">
        <f t="shared" si="27"/>
        <v>#REF!</v>
      </c>
      <c r="S198" s="140" t="e">
        <f t="shared" si="28"/>
        <v>#REF!</v>
      </c>
      <c r="T198" s="40" t="e">
        <f t="shared" si="31"/>
        <v>#REF!</v>
      </c>
      <c r="U198" s="39" t="e">
        <f t="shared" si="22"/>
        <v>#REF!</v>
      </c>
      <c r="V198" s="139" t="e">
        <f t="shared" si="29"/>
        <v>#REF!</v>
      </c>
    </row>
    <row r="199" spans="1:22">
      <c r="M199" s="38">
        <f t="shared" si="30"/>
        <v>18.899999999999999</v>
      </c>
      <c r="N199" s="139" t="e">
        <f t="shared" si="23"/>
        <v>#REF!</v>
      </c>
      <c r="O199" s="139" t="e">
        <f t="shared" si="24"/>
        <v>#REF!</v>
      </c>
      <c r="P199" s="139" t="e">
        <f t="shared" si="25"/>
        <v>#REF!</v>
      </c>
      <c r="Q199" s="139" t="e">
        <f t="shared" si="26"/>
        <v>#REF!</v>
      </c>
      <c r="R199" s="140" t="e">
        <f t="shared" si="27"/>
        <v>#REF!</v>
      </c>
      <c r="S199" s="140" t="e">
        <f t="shared" si="28"/>
        <v>#REF!</v>
      </c>
      <c r="T199" s="40" t="e">
        <f t="shared" si="31"/>
        <v>#REF!</v>
      </c>
      <c r="U199" s="39" t="e">
        <f t="shared" si="22"/>
        <v>#REF!</v>
      </c>
      <c r="V199" s="139" t="e">
        <f t="shared" si="29"/>
        <v>#REF!</v>
      </c>
    </row>
    <row r="200" spans="1:22">
      <c r="M200" s="38">
        <f t="shared" si="30"/>
        <v>19</v>
      </c>
      <c r="N200" s="139" t="e">
        <f t="shared" si="23"/>
        <v>#REF!</v>
      </c>
      <c r="O200" s="139" t="e">
        <f t="shared" si="24"/>
        <v>#REF!</v>
      </c>
      <c r="P200" s="139" t="e">
        <f t="shared" si="25"/>
        <v>#REF!</v>
      </c>
      <c r="Q200" s="139" t="e">
        <f t="shared" si="26"/>
        <v>#REF!</v>
      </c>
      <c r="R200" s="140" t="e">
        <f t="shared" si="27"/>
        <v>#REF!</v>
      </c>
      <c r="S200" s="140" t="e">
        <f t="shared" si="28"/>
        <v>#REF!</v>
      </c>
      <c r="T200" s="40" t="e">
        <f t="shared" si="31"/>
        <v>#REF!</v>
      </c>
      <c r="U200" s="39" t="e">
        <f t="shared" ref="U200:U263" si="32">ktot*N200</f>
        <v>#REF!</v>
      </c>
      <c r="V200" s="139" t="e">
        <f t="shared" si="29"/>
        <v>#REF!</v>
      </c>
    </row>
    <row r="201" spans="1:22">
      <c r="M201" s="38">
        <f t="shared" si="30"/>
        <v>19.100000000000001</v>
      </c>
      <c r="N201" s="139" t="e">
        <f t="shared" si="23"/>
        <v>#REF!</v>
      </c>
      <c r="O201" s="139" t="e">
        <f t="shared" si="24"/>
        <v>#REF!</v>
      </c>
      <c r="P201" s="139" t="e">
        <f t="shared" si="25"/>
        <v>#REF!</v>
      </c>
      <c r="Q201" s="139" t="e">
        <f t="shared" si="26"/>
        <v>#REF!</v>
      </c>
      <c r="R201" s="140" t="e">
        <f t="shared" si="27"/>
        <v>#REF!</v>
      </c>
      <c r="S201" s="140" t="e">
        <f t="shared" si="28"/>
        <v>#REF!</v>
      </c>
      <c r="T201" s="40" t="e">
        <f t="shared" si="31"/>
        <v>#REF!</v>
      </c>
      <c r="U201" s="39" t="e">
        <f t="shared" si="32"/>
        <v>#REF!</v>
      </c>
      <c r="V201" s="139" t="e">
        <f t="shared" si="29"/>
        <v>#REF!</v>
      </c>
    </row>
    <row r="202" spans="1:22">
      <c r="M202" s="38">
        <f t="shared" si="30"/>
        <v>19.200000000000003</v>
      </c>
      <c r="N202" s="139" t="e">
        <f t="shared" ref="N202:N265" si="33">(1/(ESchiene*ISchiene))*((Achslast_4*10^3/2)/(8*(1/Lelastisch)^3)*EXP(-(1/Lelastisch)*ABS(M202-x4_)*10^3)*(COS(ABS(M202-x4_)*10^3/Lelastisch)+SIN(ABS(M202-x4_)*10^3/Lelastisch))+(Achslast_3*10^3/2)/(8*(1/Lelastisch)^3)*EXP(-(1/Lelastisch)*ABS(M202-x_3)*10^3)*(COS(ABS(M202-x_3)*10^3/Lelastisch)+SIN(ABS(M202-x_3)*10^3/Lelastisch))+(Achslast_2*10^3/2)/(8*(1/Lelastisch)^3)*EXP(-(1/Lelastisch)*ABS(M202-x_2)*10^3)*(COS(ABS(M202-x_2)*10^3/Lelastisch)+SIN(ABS(M202-x_2)*10^3/Lelastisch))+(Achslast_1*10^3/2)/(8*(1/Lelastisch)^3)*EXP(-(1/Lelastisch)*ABS(M202-x_1)*10^3)*(COS(ABS(M202-x_1)*10^3/Lelastisch)+SIN(ABS(M202-x_1)*10^3/Lelastisch)))</f>
        <v>#REF!</v>
      </c>
      <c r="O202" s="139" t="e">
        <f t="shared" ref="O202:O265" si="34">((Achslast_4*10^3/2)/(4*(1/Lelastisch))*EXP(-(1/Lelastisch)*ABS(M202-x4_)*10^3)*(COS(ABS(M202-x4_)*10^3/Lelastisch)-SIN(ABS(M202-x4_)*10^3/Lelastisch))+(Achslast_3*10^3/2)/(4*(1/Lelastisch))*EXP(-(1/Lelastisch)*ABS(M202-x_3)*10^3)*(COS(ABS(M202-x_3)*10^3/Lelastisch)-SIN(ABS(M202-x_3)*10^3/Lelastisch))+(Achslast_2*10^3/2)/(4*(1/Lelastisch))*EXP(-(1/Lelastisch)*ABS(M202-x_2)*10^3)*(COS(ABS(M202-x_2)*10^3/Lelastisch)-SIN(ABS(M202-x_2)*10^3/Lelastisch))+(Achslast_1*10^3/2)/(4*(1/Lelastisch))*EXP(-(1/Lelastisch)*ABS(M202-x_1)*10^3)*(COS(ABS(M202-x_1)*10^3/Lelastisch)-SIN(ABS(M202-x_1)*10^3/Lelastisch)))*10^-6</f>
        <v>#REF!</v>
      </c>
      <c r="P202" s="139" t="e">
        <f t="shared" ref="P202:P265" si="35">((Achslast_4*10^3*kd*kq/2)/(4*(1/Lelastisch))*EXP(-(1/Lelastisch)*ABS(M202-x4_)*10^3)*(COS(ABS(M202-x4_)*10^3/Lelastisch)-SIN(ABS(M202-x4_)*10^3/Lelastisch))+(Achslast_3*10^3*kd*kq/2)/(4*(1/Lelastisch))*EXP(-(1/Lelastisch)*ABS(M202-x_3)*10^3)*(COS(ABS(M202-x_3)*10^3/Lelastisch)-SIN(ABS(M202-x_3)*10^3/Lelastisch))+(Achslast_2*10^3*kd*kq/2)/(4*(1/Lelastisch))*EXP(-(1/Lelastisch)*ABS(M202-x_2)*10^3)*(COS(ABS(M202-x_2)*10^3/Lelastisch)-SIN(ABS(M202-x_2)*10^3/Lelastisch))+(Achslast_1*10^3*kd*kq/2)/(4*(1/Lelastisch))*EXP(-(1/Lelastisch)*ABS(M202-x_1)*10^3)*(COS(ABS(M202-x_1)*10^3/Lelastisch)-SIN(ABS(M202-x_1)*10^3/Lelastisch)))*10^-6</f>
        <v>#REF!</v>
      </c>
      <c r="Q202" s="139" t="e">
        <f t="shared" ref="Q202:Q265" si="36">P202/WSchiene*10^6</f>
        <v>#REF!</v>
      </c>
      <c r="R202" s="140" t="e">
        <f t="shared" ref="R202:R265" si="37">(O202/WSchiene)*10^6*(1+3*Faktor_Oberbauzustand*fPersonenzüge)</f>
        <v>#REF!</v>
      </c>
      <c r="S202" s="140" t="e">
        <f t="shared" ref="S202:S265" si="38">(O202/WSchiene)*10^6*(1+3*Faktor_Oberbauzustand*fGüterzüge)</f>
        <v>#REF!</v>
      </c>
      <c r="T202" s="40" t="e">
        <f t="shared" si="31"/>
        <v>#REF!</v>
      </c>
      <c r="U202" s="39" t="e">
        <f t="shared" si="32"/>
        <v>#REF!</v>
      </c>
      <c r="V202" s="139" t="e">
        <f t="shared" ref="V202:V265" si="39">MAX($U$8:$U$330)</f>
        <v>#REF!</v>
      </c>
    </row>
    <row r="203" spans="1:22">
      <c r="M203" s="38">
        <f t="shared" ref="M203:M266" si="40">MIN(M202+Dx,LSchiene)</f>
        <v>19.300000000000004</v>
      </c>
      <c r="N203" s="139" t="e">
        <f t="shared" si="33"/>
        <v>#REF!</v>
      </c>
      <c r="O203" s="139" t="e">
        <f t="shared" si="34"/>
        <v>#REF!</v>
      </c>
      <c r="P203" s="139" t="e">
        <f t="shared" si="35"/>
        <v>#REF!</v>
      </c>
      <c r="Q203" s="139" t="e">
        <f t="shared" si="36"/>
        <v>#REF!</v>
      </c>
      <c r="R203" s="140" t="e">
        <f t="shared" si="37"/>
        <v>#REF!</v>
      </c>
      <c r="S203" s="140" t="e">
        <f t="shared" si="38"/>
        <v>#REF!</v>
      </c>
      <c r="T203" s="40" t="e">
        <f t="shared" si="31"/>
        <v>#REF!</v>
      </c>
      <c r="U203" s="39" t="e">
        <f t="shared" si="32"/>
        <v>#REF!</v>
      </c>
      <c r="V203" s="139" t="e">
        <f t="shared" si="39"/>
        <v>#REF!</v>
      </c>
    </row>
    <row r="204" spans="1:22">
      <c r="M204" s="38">
        <f t="shared" si="40"/>
        <v>19.400000000000006</v>
      </c>
      <c r="N204" s="139" t="e">
        <f t="shared" si="33"/>
        <v>#REF!</v>
      </c>
      <c r="O204" s="139" t="e">
        <f t="shared" si="34"/>
        <v>#REF!</v>
      </c>
      <c r="P204" s="139" t="e">
        <f t="shared" si="35"/>
        <v>#REF!</v>
      </c>
      <c r="Q204" s="139" t="e">
        <f t="shared" si="36"/>
        <v>#REF!</v>
      </c>
      <c r="R204" s="140" t="e">
        <f t="shared" si="37"/>
        <v>#REF!</v>
      </c>
      <c r="S204" s="140" t="e">
        <f t="shared" si="38"/>
        <v>#REF!</v>
      </c>
      <c r="T204" s="40" t="e">
        <f t="shared" si="31"/>
        <v>#REF!</v>
      </c>
      <c r="U204" s="39" t="e">
        <f t="shared" si="32"/>
        <v>#REF!</v>
      </c>
      <c r="V204" s="139" t="e">
        <f t="shared" si="39"/>
        <v>#REF!</v>
      </c>
    </row>
    <row r="205" spans="1:22">
      <c r="M205" s="38">
        <f t="shared" si="40"/>
        <v>19.500000000000007</v>
      </c>
      <c r="N205" s="139" t="e">
        <f t="shared" si="33"/>
        <v>#REF!</v>
      </c>
      <c r="O205" s="139" t="e">
        <f t="shared" si="34"/>
        <v>#REF!</v>
      </c>
      <c r="P205" s="139" t="e">
        <f t="shared" si="35"/>
        <v>#REF!</v>
      </c>
      <c r="Q205" s="139" t="e">
        <f t="shared" si="36"/>
        <v>#REF!</v>
      </c>
      <c r="R205" s="140" t="e">
        <f t="shared" si="37"/>
        <v>#REF!</v>
      </c>
      <c r="S205" s="140" t="e">
        <f t="shared" si="38"/>
        <v>#REF!</v>
      </c>
      <c r="T205" s="40" t="e">
        <f t="shared" si="31"/>
        <v>#REF!</v>
      </c>
      <c r="U205" s="39" t="e">
        <f t="shared" si="32"/>
        <v>#REF!</v>
      </c>
      <c r="V205" s="139" t="e">
        <f t="shared" si="39"/>
        <v>#REF!</v>
      </c>
    </row>
    <row r="206" spans="1:22">
      <c r="M206" s="38">
        <f t="shared" si="40"/>
        <v>19.600000000000009</v>
      </c>
      <c r="N206" s="139" t="e">
        <f t="shared" si="33"/>
        <v>#REF!</v>
      </c>
      <c r="O206" s="139" t="e">
        <f t="shared" si="34"/>
        <v>#REF!</v>
      </c>
      <c r="P206" s="139" t="e">
        <f t="shared" si="35"/>
        <v>#REF!</v>
      </c>
      <c r="Q206" s="139" t="e">
        <f t="shared" si="36"/>
        <v>#REF!</v>
      </c>
      <c r="R206" s="140" t="e">
        <f t="shared" si="37"/>
        <v>#REF!</v>
      </c>
      <c r="S206" s="140" t="e">
        <f t="shared" si="38"/>
        <v>#REF!</v>
      </c>
      <c r="T206" s="40" t="e">
        <f t="shared" si="31"/>
        <v>#REF!</v>
      </c>
      <c r="U206" s="39" t="e">
        <f t="shared" si="32"/>
        <v>#REF!</v>
      </c>
      <c r="V206" s="139" t="e">
        <f t="shared" si="39"/>
        <v>#REF!</v>
      </c>
    </row>
    <row r="207" spans="1:22">
      <c r="M207" s="38">
        <f t="shared" si="40"/>
        <v>19.70000000000001</v>
      </c>
      <c r="N207" s="139" t="e">
        <f t="shared" si="33"/>
        <v>#REF!</v>
      </c>
      <c r="O207" s="139" t="e">
        <f t="shared" si="34"/>
        <v>#REF!</v>
      </c>
      <c r="P207" s="139" t="e">
        <f t="shared" si="35"/>
        <v>#REF!</v>
      </c>
      <c r="Q207" s="139" t="e">
        <f t="shared" si="36"/>
        <v>#REF!</v>
      </c>
      <c r="R207" s="140" t="e">
        <f t="shared" si="37"/>
        <v>#REF!</v>
      </c>
      <c r="S207" s="140" t="e">
        <f t="shared" si="38"/>
        <v>#REF!</v>
      </c>
      <c r="T207" s="40" t="e">
        <f t="shared" si="31"/>
        <v>#REF!</v>
      </c>
      <c r="U207" s="39" t="e">
        <f t="shared" si="32"/>
        <v>#REF!</v>
      </c>
      <c r="V207" s="139" t="e">
        <f t="shared" si="39"/>
        <v>#REF!</v>
      </c>
    </row>
    <row r="208" spans="1:22">
      <c r="M208" s="38">
        <f t="shared" si="40"/>
        <v>19.800000000000011</v>
      </c>
      <c r="N208" s="139" t="e">
        <f t="shared" si="33"/>
        <v>#REF!</v>
      </c>
      <c r="O208" s="139" t="e">
        <f t="shared" si="34"/>
        <v>#REF!</v>
      </c>
      <c r="P208" s="139" t="e">
        <f t="shared" si="35"/>
        <v>#REF!</v>
      </c>
      <c r="Q208" s="139" t="e">
        <f t="shared" si="36"/>
        <v>#REF!</v>
      </c>
      <c r="R208" s="140" t="e">
        <f t="shared" si="37"/>
        <v>#REF!</v>
      </c>
      <c r="S208" s="140" t="e">
        <f t="shared" si="38"/>
        <v>#REF!</v>
      </c>
      <c r="T208" s="40" t="e">
        <f t="shared" si="31"/>
        <v>#REF!</v>
      </c>
      <c r="U208" s="39" t="e">
        <f t="shared" si="32"/>
        <v>#REF!</v>
      </c>
      <c r="V208" s="139" t="e">
        <f t="shared" si="39"/>
        <v>#REF!</v>
      </c>
    </row>
    <row r="209" spans="13:22">
      <c r="M209" s="38">
        <f t="shared" si="40"/>
        <v>19.900000000000013</v>
      </c>
      <c r="N209" s="139" t="e">
        <f t="shared" si="33"/>
        <v>#REF!</v>
      </c>
      <c r="O209" s="139" t="e">
        <f t="shared" si="34"/>
        <v>#REF!</v>
      </c>
      <c r="P209" s="139" t="e">
        <f t="shared" si="35"/>
        <v>#REF!</v>
      </c>
      <c r="Q209" s="139" t="e">
        <f t="shared" si="36"/>
        <v>#REF!</v>
      </c>
      <c r="R209" s="140" t="e">
        <f t="shared" si="37"/>
        <v>#REF!</v>
      </c>
      <c r="S209" s="140" t="e">
        <f t="shared" si="38"/>
        <v>#REF!</v>
      </c>
      <c r="T209" s="40" t="e">
        <f t="shared" si="31"/>
        <v>#REF!</v>
      </c>
      <c r="U209" s="39" t="e">
        <f t="shared" si="32"/>
        <v>#REF!</v>
      </c>
      <c r="V209" s="139" t="e">
        <f t="shared" si="39"/>
        <v>#REF!</v>
      </c>
    </row>
    <row r="210" spans="13:22">
      <c r="M210" s="38">
        <f t="shared" si="40"/>
        <v>20.000000000000014</v>
      </c>
      <c r="N210" s="139" t="e">
        <f t="shared" si="33"/>
        <v>#REF!</v>
      </c>
      <c r="O210" s="139" t="e">
        <f t="shared" si="34"/>
        <v>#REF!</v>
      </c>
      <c r="P210" s="139" t="e">
        <f t="shared" si="35"/>
        <v>#REF!</v>
      </c>
      <c r="Q210" s="139" t="e">
        <f t="shared" si="36"/>
        <v>#REF!</v>
      </c>
      <c r="R210" s="140" t="e">
        <f t="shared" si="37"/>
        <v>#REF!</v>
      </c>
      <c r="S210" s="140" t="e">
        <f t="shared" si="38"/>
        <v>#REF!</v>
      </c>
      <c r="T210" s="40" t="e">
        <f t="shared" ref="T210:T273" si="41">IF(N210=MAX($N$8:$N$330),N210,#N/A)</f>
        <v>#REF!</v>
      </c>
      <c r="U210" s="39" t="e">
        <f t="shared" si="32"/>
        <v>#REF!</v>
      </c>
      <c r="V210" s="139" t="e">
        <f t="shared" si="39"/>
        <v>#REF!</v>
      </c>
    </row>
    <row r="211" spans="13:22">
      <c r="M211" s="38">
        <f t="shared" si="40"/>
        <v>20.100000000000016</v>
      </c>
      <c r="N211" s="139" t="e">
        <f t="shared" si="33"/>
        <v>#REF!</v>
      </c>
      <c r="O211" s="139" t="e">
        <f t="shared" si="34"/>
        <v>#REF!</v>
      </c>
      <c r="P211" s="139" t="e">
        <f t="shared" si="35"/>
        <v>#REF!</v>
      </c>
      <c r="Q211" s="139" t="e">
        <f t="shared" si="36"/>
        <v>#REF!</v>
      </c>
      <c r="R211" s="140" t="e">
        <f t="shared" si="37"/>
        <v>#REF!</v>
      </c>
      <c r="S211" s="140" t="e">
        <f t="shared" si="38"/>
        <v>#REF!</v>
      </c>
      <c r="T211" s="40" t="e">
        <f t="shared" si="41"/>
        <v>#REF!</v>
      </c>
      <c r="U211" s="39" t="e">
        <f t="shared" si="32"/>
        <v>#REF!</v>
      </c>
      <c r="V211" s="139" t="e">
        <f t="shared" si="39"/>
        <v>#REF!</v>
      </c>
    </row>
    <row r="212" spans="13:22">
      <c r="M212" s="38">
        <f t="shared" si="40"/>
        <v>20.200000000000017</v>
      </c>
      <c r="N212" s="139" t="e">
        <f t="shared" si="33"/>
        <v>#REF!</v>
      </c>
      <c r="O212" s="139" t="e">
        <f t="shared" si="34"/>
        <v>#REF!</v>
      </c>
      <c r="P212" s="139" t="e">
        <f t="shared" si="35"/>
        <v>#REF!</v>
      </c>
      <c r="Q212" s="139" t="e">
        <f t="shared" si="36"/>
        <v>#REF!</v>
      </c>
      <c r="R212" s="140" t="e">
        <f t="shared" si="37"/>
        <v>#REF!</v>
      </c>
      <c r="S212" s="140" t="e">
        <f t="shared" si="38"/>
        <v>#REF!</v>
      </c>
      <c r="T212" s="40" t="e">
        <f t="shared" si="41"/>
        <v>#REF!</v>
      </c>
      <c r="U212" s="39" t="e">
        <f t="shared" si="32"/>
        <v>#REF!</v>
      </c>
      <c r="V212" s="139" t="e">
        <f t="shared" si="39"/>
        <v>#REF!</v>
      </c>
    </row>
    <row r="213" spans="13:22">
      <c r="M213" s="38">
        <f t="shared" si="40"/>
        <v>20.300000000000018</v>
      </c>
      <c r="N213" s="139" t="e">
        <f t="shared" si="33"/>
        <v>#REF!</v>
      </c>
      <c r="O213" s="139" t="e">
        <f t="shared" si="34"/>
        <v>#REF!</v>
      </c>
      <c r="P213" s="139" t="e">
        <f t="shared" si="35"/>
        <v>#REF!</v>
      </c>
      <c r="Q213" s="139" t="e">
        <f t="shared" si="36"/>
        <v>#REF!</v>
      </c>
      <c r="R213" s="140" t="e">
        <f t="shared" si="37"/>
        <v>#REF!</v>
      </c>
      <c r="S213" s="140" t="e">
        <f t="shared" si="38"/>
        <v>#REF!</v>
      </c>
      <c r="T213" s="40" t="e">
        <f t="shared" si="41"/>
        <v>#REF!</v>
      </c>
      <c r="U213" s="39" t="e">
        <f t="shared" si="32"/>
        <v>#REF!</v>
      </c>
      <c r="V213" s="139" t="e">
        <f t="shared" si="39"/>
        <v>#REF!</v>
      </c>
    </row>
    <row r="214" spans="13:22">
      <c r="M214" s="38">
        <f t="shared" si="40"/>
        <v>20.40000000000002</v>
      </c>
      <c r="N214" s="139" t="e">
        <f t="shared" si="33"/>
        <v>#REF!</v>
      </c>
      <c r="O214" s="139" t="e">
        <f t="shared" si="34"/>
        <v>#REF!</v>
      </c>
      <c r="P214" s="139" t="e">
        <f t="shared" si="35"/>
        <v>#REF!</v>
      </c>
      <c r="Q214" s="139" t="e">
        <f t="shared" si="36"/>
        <v>#REF!</v>
      </c>
      <c r="R214" s="140" t="e">
        <f t="shared" si="37"/>
        <v>#REF!</v>
      </c>
      <c r="S214" s="140" t="e">
        <f t="shared" si="38"/>
        <v>#REF!</v>
      </c>
      <c r="T214" s="40" t="e">
        <f t="shared" si="41"/>
        <v>#REF!</v>
      </c>
      <c r="U214" s="39" t="e">
        <f t="shared" si="32"/>
        <v>#REF!</v>
      </c>
      <c r="V214" s="139" t="e">
        <f t="shared" si="39"/>
        <v>#REF!</v>
      </c>
    </row>
    <row r="215" spans="13:22">
      <c r="M215" s="38">
        <f t="shared" si="40"/>
        <v>20.500000000000021</v>
      </c>
      <c r="N215" s="139" t="e">
        <f t="shared" si="33"/>
        <v>#REF!</v>
      </c>
      <c r="O215" s="139" t="e">
        <f t="shared" si="34"/>
        <v>#REF!</v>
      </c>
      <c r="P215" s="139" t="e">
        <f t="shared" si="35"/>
        <v>#REF!</v>
      </c>
      <c r="Q215" s="139" t="e">
        <f t="shared" si="36"/>
        <v>#REF!</v>
      </c>
      <c r="R215" s="140" t="e">
        <f t="shared" si="37"/>
        <v>#REF!</v>
      </c>
      <c r="S215" s="140" t="e">
        <f t="shared" si="38"/>
        <v>#REF!</v>
      </c>
      <c r="T215" s="40" t="e">
        <f t="shared" si="41"/>
        <v>#REF!</v>
      </c>
      <c r="U215" s="39" t="e">
        <f t="shared" si="32"/>
        <v>#REF!</v>
      </c>
      <c r="V215" s="139" t="e">
        <f t="shared" si="39"/>
        <v>#REF!</v>
      </c>
    </row>
    <row r="216" spans="13:22">
      <c r="M216" s="38">
        <f t="shared" si="40"/>
        <v>20.600000000000023</v>
      </c>
      <c r="N216" s="139" t="e">
        <f t="shared" si="33"/>
        <v>#REF!</v>
      </c>
      <c r="O216" s="139" t="e">
        <f t="shared" si="34"/>
        <v>#REF!</v>
      </c>
      <c r="P216" s="139" t="e">
        <f t="shared" si="35"/>
        <v>#REF!</v>
      </c>
      <c r="Q216" s="139" t="e">
        <f t="shared" si="36"/>
        <v>#REF!</v>
      </c>
      <c r="R216" s="140" t="e">
        <f t="shared" si="37"/>
        <v>#REF!</v>
      </c>
      <c r="S216" s="140" t="e">
        <f t="shared" si="38"/>
        <v>#REF!</v>
      </c>
      <c r="T216" s="40" t="e">
        <f t="shared" si="41"/>
        <v>#REF!</v>
      </c>
      <c r="U216" s="39" t="e">
        <f t="shared" si="32"/>
        <v>#REF!</v>
      </c>
      <c r="V216" s="139" t="e">
        <f t="shared" si="39"/>
        <v>#REF!</v>
      </c>
    </row>
    <row r="217" spans="13:22">
      <c r="M217" s="38">
        <f t="shared" si="40"/>
        <v>20.700000000000024</v>
      </c>
      <c r="N217" s="139" t="e">
        <f t="shared" si="33"/>
        <v>#REF!</v>
      </c>
      <c r="O217" s="139" t="e">
        <f t="shared" si="34"/>
        <v>#REF!</v>
      </c>
      <c r="P217" s="139" t="e">
        <f t="shared" si="35"/>
        <v>#REF!</v>
      </c>
      <c r="Q217" s="139" t="e">
        <f t="shared" si="36"/>
        <v>#REF!</v>
      </c>
      <c r="R217" s="140" t="e">
        <f t="shared" si="37"/>
        <v>#REF!</v>
      </c>
      <c r="S217" s="140" t="e">
        <f t="shared" si="38"/>
        <v>#REF!</v>
      </c>
      <c r="T217" s="40" t="e">
        <f t="shared" si="41"/>
        <v>#REF!</v>
      </c>
      <c r="U217" s="39" t="e">
        <f t="shared" si="32"/>
        <v>#REF!</v>
      </c>
      <c r="V217" s="139" t="e">
        <f t="shared" si="39"/>
        <v>#REF!</v>
      </c>
    </row>
    <row r="218" spans="13:22">
      <c r="M218" s="38">
        <f t="shared" si="40"/>
        <v>20.800000000000026</v>
      </c>
      <c r="N218" s="139" t="e">
        <f t="shared" si="33"/>
        <v>#REF!</v>
      </c>
      <c r="O218" s="139" t="e">
        <f t="shared" si="34"/>
        <v>#REF!</v>
      </c>
      <c r="P218" s="139" t="e">
        <f t="shared" si="35"/>
        <v>#REF!</v>
      </c>
      <c r="Q218" s="139" t="e">
        <f t="shared" si="36"/>
        <v>#REF!</v>
      </c>
      <c r="R218" s="140" t="e">
        <f t="shared" si="37"/>
        <v>#REF!</v>
      </c>
      <c r="S218" s="140" t="e">
        <f t="shared" si="38"/>
        <v>#REF!</v>
      </c>
      <c r="T218" s="40" t="e">
        <f t="shared" si="41"/>
        <v>#REF!</v>
      </c>
      <c r="U218" s="39" t="e">
        <f t="shared" si="32"/>
        <v>#REF!</v>
      </c>
      <c r="V218" s="139" t="e">
        <f t="shared" si="39"/>
        <v>#REF!</v>
      </c>
    </row>
    <row r="219" spans="13:22">
      <c r="M219" s="38">
        <f t="shared" si="40"/>
        <v>20.900000000000027</v>
      </c>
      <c r="N219" s="139" t="e">
        <f t="shared" si="33"/>
        <v>#REF!</v>
      </c>
      <c r="O219" s="139" t="e">
        <f t="shared" si="34"/>
        <v>#REF!</v>
      </c>
      <c r="P219" s="139" t="e">
        <f t="shared" si="35"/>
        <v>#REF!</v>
      </c>
      <c r="Q219" s="139" t="e">
        <f t="shared" si="36"/>
        <v>#REF!</v>
      </c>
      <c r="R219" s="140" t="e">
        <f t="shared" si="37"/>
        <v>#REF!</v>
      </c>
      <c r="S219" s="140" t="e">
        <f t="shared" si="38"/>
        <v>#REF!</v>
      </c>
      <c r="T219" s="40" t="e">
        <f t="shared" si="41"/>
        <v>#REF!</v>
      </c>
      <c r="U219" s="39" t="e">
        <f t="shared" si="32"/>
        <v>#REF!</v>
      </c>
      <c r="V219" s="139" t="e">
        <f t="shared" si="39"/>
        <v>#REF!</v>
      </c>
    </row>
    <row r="220" spans="13:22">
      <c r="M220" s="38">
        <f t="shared" si="40"/>
        <v>21.000000000000028</v>
      </c>
      <c r="N220" s="139" t="e">
        <f t="shared" si="33"/>
        <v>#REF!</v>
      </c>
      <c r="O220" s="139" t="e">
        <f t="shared" si="34"/>
        <v>#REF!</v>
      </c>
      <c r="P220" s="139" t="e">
        <f t="shared" si="35"/>
        <v>#REF!</v>
      </c>
      <c r="Q220" s="139" t="e">
        <f t="shared" si="36"/>
        <v>#REF!</v>
      </c>
      <c r="R220" s="140" t="e">
        <f t="shared" si="37"/>
        <v>#REF!</v>
      </c>
      <c r="S220" s="140" t="e">
        <f t="shared" si="38"/>
        <v>#REF!</v>
      </c>
      <c r="T220" s="40" t="e">
        <f t="shared" si="41"/>
        <v>#REF!</v>
      </c>
      <c r="U220" s="39" t="e">
        <f t="shared" si="32"/>
        <v>#REF!</v>
      </c>
      <c r="V220" s="139" t="e">
        <f t="shared" si="39"/>
        <v>#REF!</v>
      </c>
    </row>
    <row r="221" spans="13:22">
      <c r="M221" s="38">
        <f t="shared" si="40"/>
        <v>21.10000000000003</v>
      </c>
      <c r="N221" s="139" t="e">
        <f t="shared" si="33"/>
        <v>#REF!</v>
      </c>
      <c r="O221" s="139" t="e">
        <f t="shared" si="34"/>
        <v>#REF!</v>
      </c>
      <c r="P221" s="139" t="e">
        <f t="shared" si="35"/>
        <v>#REF!</v>
      </c>
      <c r="Q221" s="139" t="e">
        <f t="shared" si="36"/>
        <v>#REF!</v>
      </c>
      <c r="R221" s="140" t="e">
        <f t="shared" si="37"/>
        <v>#REF!</v>
      </c>
      <c r="S221" s="140" t="e">
        <f t="shared" si="38"/>
        <v>#REF!</v>
      </c>
      <c r="T221" s="40" t="e">
        <f t="shared" si="41"/>
        <v>#REF!</v>
      </c>
      <c r="U221" s="39" t="e">
        <f t="shared" si="32"/>
        <v>#REF!</v>
      </c>
      <c r="V221" s="139" t="e">
        <f t="shared" si="39"/>
        <v>#REF!</v>
      </c>
    </row>
    <row r="222" spans="13:22">
      <c r="M222" s="38">
        <f t="shared" si="40"/>
        <v>21.200000000000031</v>
      </c>
      <c r="N222" s="139" t="e">
        <f t="shared" si="33"/>
        <v>#REF!</v>
      </c>
      <c r="O222" s="139" t="e">
        <f t="shared" si="34"/>
        <v>#REF!</v>
      </c>
      <c r="P222" s="139" t="e">
        <f t="shared" si="35"/>
        <v>#REF!</v>
      </c>
      <c r="Q222" s="139" t="e">
        <f t="shared" si="36"/>
        <v>#REF!</v>
      </c>
      <c r="R222" s="140" t="e">
        <f t="shared" si="37"/>
        <v>#REF!</v>
      </c>
      <c r="S222" s="140" t="e">
        <f t="shared" si="38"/>
        <v>#REF!</v>
      </c>
      <c r="T222" s="40" t="e">
        <f t="shared" si="41"/>
        <v>#REF!</v>
      </c>
      <c r="U222" s="39" t="e">
        <f t="shared" si="32"/>
        <v>#REF!</v>
      </c>
      <c r="V222" s="139" t="e">
        <f t="shared" si="39"/>
        <v>#REF!</v>
      </c>
    </row>
    <row r="223" spans="13:22">
      <c r="M223" s="38">
        <f t="shared" si="40"/>
        <v>21.300000000000033</v>
      </c>
      <c r="N223" s="139" t="e">
        <f t="shared" si="33"/>
        <v>#REF!</v>
      </c>
      <c r="O223" s="139" t="e">
        <f t="shared" si="34"/>
        <v>#REF!</v>
      </c>
      <c r="P223" s="139" t="e">
        <f t="shared" si="35"/>
        <v>#REF!</v>
      </c>
      <c r="Q223" s="139" t="e">
        <f t="shared" si="36"/>
        <v>#REF!</v>
      </c>
      <c r="R223" s="140" t="e">
        <f t="shared" si="37"/>
        <v>#REF!</v>
      </c>
      <c r="S223" s="140" t="e">
        <f t="shared" si="38"/>
        <v>#REF!</v>
      </c>
      <c r="T223" s="40" t="e">
        <f t="shared" si="41"/>
        <v>#REF!</v>
      </c>
      <c r="U223" s="39" t="e">
        <f t="shared" si="32"/>
        <v>#REF!</v>
      </c>
      <c r="V223" s="139" t="e">
        <f t="shared" si="39"/>
        <v>#REF!</v>
      </c>
    </row>
    <row r="224" spans="13:22">
      <c r="M224" s="38">
        <f t="shared" si="40"/>
        <v>21.400000000000034</v>
      </c>
      <c r="N224" s="139" t="e">
        <f t="shared" si="33"/>
        <v>#REF!</v>
      </c>
      <c r="O224" s="139" t="e">
        <f t="shared" si="34"/>
        <v>#REF!</v>
      </c>
      <c r="P224" s="139" t="e">
        <f t="shared" si="35"/>
        <v>#REF!</v>
      </c>
      <c r="Q224" s="139" t="e">
        <f t="shared" si="36"/>
        <v>#REF!</v>
      </c>
      <c r="R224" s="140" t="e">
        <f t="shared" si="37"/>
        <v>#REF!</v>
      </c>
      <c r="S224" s="140" t="e">
        <f t="shared" si="38"/>
        <v>#REF!</v>
      </c>
      <c r="T224" s="40" t="e">
        <f t="shared" si="41"/>
        <v>#REF!</v>
      </c>
      <c r="U224" s="39" t="e">
        <f t="shared" si="32"/>
        <v>#REF!</v>
      </c>
      <c r="V224" s="139" t="e">
        <f t="shared" si="39"/>
        <v>#REF!</v>
      </c>
    </row>
    <row r="225" spans="13:22">
      <c r="M225" s="38">
        <f t="shared" si="40"/>
        <v>21.500000000000036</v>
      </c>
      <c r="N225" s="139" t="e">
        <f t="shared" si="33"/>
        <v>#REF!</v>
      </c>
      <c r="O225" s="139" t="e">
        <f t="shared" si="34"/>
        <v>#REF!</v>
      </c>
      <c r="P225" s="139" t="e">
        <f t="shared" si="35"/>
        <v>#REF!</v>
      </c>
      <c r="Q225" s="139" t="e">
        <f t="shared" si="36"/>
        <v>#REF!</v>
      </c>
      <c r="R225" s="140" t="e">
        <f t="shared" si="37"/>
        <v>#REF!</v>
      </c>
      <c r="S225" s="140" t="e">
        <f t="shared" si="38"/>
        <v>#REF!</v>
      </c>
      <c r="T225" s="40" t="e">
        <f t="shared" si="41"/>
        <v>#REF!</v>
      </c>
      <c r="U225" s="39" t="e">
        <f t="shared" si="32"/>
        <v>#REF!</v>
      </c>
      <c r="V225" s="139" t="e">
        <f t="shared" si="39"/>
        <v>#REF!</v>
      </c>
    </row>
    <row r="226" spans="13:22">
      <c r="M226" s="38">
        <f t="shared" si="40"/>
        <v>21.600000000000037</v>
      </c>
      <c r="N226" s="139" t="e">
        <f t="shared" si="33"/>
        <v>#REF!</v>
      </c>
      <c r="O226" s="139" t="e">
        <f t="shared" si="34"/>
        <v>#REF!</v>
      </c>
      <c r="P226" s="139" t="e">
        <f t="shared" si="35"/>
        <v>#REF!</v>
      </c>
      <c r="Q226" s="139" t="e">
        <f t="shared" si="36"/>
        <v>#REF!</v>
      </c>
      <c r="R226" s="140" t="e">
        <f t="shared" si="37"/>
        <v>#REF!</v>
      </c>
      <c r="S226" s="140" t="e">
        <f t="shared" si="38"/>
        <v>#REF!</v>
      </c>
      <c r="T226" s="40" t="e">
        <f t="shared" si="41"/>
        <v>#REF!</v>
      </c>
      <c r="U226" s="39" t="e">
        <f t="shared" si="32"/>
        <v>#REF!</v>
      </c>
      <c r="V226" s="139" t="e">
        <f t="shared" si="39"/>
        <v>#REF!</v>
      </c>
    </row>
    <row r="227" spans="13:22">
      <c r="M227" s="38">
        <f t="shared" si="40"/>
        <v>21.700000000000038</v>
      </c>
      <c r="N227" s="139" t="e">
        <f t="shared" si="33"/>
        <v>#REF!</v>
      </c>
      <c r="O227" s="139" t="e">
        <f t="shared" si="34"/>
        <v>#REF!</v>
      </c>
      <c r="P227" s="139" t="e">
        <f t="shared" si="35"/>
        <v>#REF!</v>
      </c>
      <c r="Q227" s="139" t="e">
        <f t="shared" si="36"/>
        <v>#REF!</v>
      </c>
      <c r="R227" s="140" t="e">
        <f t="shared" si="37"/>
        <v>#REF!</v>
      </c>
      <c r="S227" s="140" t="e">
        <f t="shared" si="38"/>
        <v>#REF!</v>
      </c>
      <c r="T227" s="40" t="e">
        <f t="shared" si="41"/>
        <v>#REF!</v>
      </c>
      <c r="U227" s="39" t="e">
        <f t="shared" si="32"/>
        <v>#REF!</v>
      </c>
      <c r="V227" s="139" t="e">
        <f t="shared" si="39"/>
        <v>#REF!</v>
      </c>
    </row>
    <row r="228" spans="13:22">
      <c r="M228" s="38">
        <f t="shared" si="40"/>
        <v>21.80000000000004</v>
      </c>
      <c r="N228" s="139" t="e">
        <f t="shared" si="33"/>
        <v>#REF!</v>
      </c>
      <c r="O228" s="139" t="e">
        <f t="shared" si="34"/>
        <v>#REF!</v>
      </c>
      <c r="P228" s="139" t="e">
        <f t="shared" si="35"/>
        <v>#REF!</v>
      </c>
      <c r="Q228" s="139" t="e">
        <f t="shared" si="36"/>
        <v>#REF!</v>
      </c>
      <c r="R228" s="140" t="e">
        <f t="shared" si="37"/>
        <v>#REF!</v>
      </c>
      <c r="S228" s="140" t="e">
        <f t="shared" si="38"/>
        <v>#REF!</v>
      </c>
      <c r="T228" s="40" t="e">
        <f t="shared" si="41"/>
        <v>#REF!</v>
      </c>
      <c r="U228" s="39" t="e">
        <f t="shared" si="32"/>
        <v>#REF!</v>
      </c>
      <c r="V228" s="139" t="e">
        <f t="shared" si="39"/>
        <v>#REF!</v>
      </c>
    </row>
    <row r="229" spans="13:22">
      <c r="M229" s="38">
        <f t="shared" si="40"/>
        <v>21.900000000000041</v>
      </c>
      <c r="N229" s="139" t="e">
        <f t="shared" si="33"/>
        <v>#REF!</v>
      </c>
      <c r="O229" s="139" t="e">
        <f t="shared" si="34"/>
        <v>#REF!</v>
      </c>
      <c r="P229" s="139" t="e">
        <f t="shared" si="35"/>
        <v>#REF!</v>
      </c>
      <c r="Q229" s="139" t="e">
        <f t="shared" si="36"/>
        <v>#REF!</v>
      </c>
      <c r="R229" s="140" t="e">
        <f t="shared" si="37"/>
        <v>#REF!</v>
      </c>
      <c r="S229" s="140" t="e">
        <f t="shared" si="38"/>
        <v>#REF!</v>
      </c>
      <c r="T229" s="40" t="e">
        <f t="shared" si="41"/>
        <v>#REF!</v>
      </c>
      <c r="U229" s="39" t="e">
        <f t="shared" si="32"/>
        <v>#REF!</v>
      </c>
      <c r="V229" s="139" t="e">
        <f t="shared" si="39"/>
        <v>#REF!</v>
      </c>
    </row>
    <row r="230" spans="13:22">
      <c r="M230" s="38">
        <f t="shared" si="40"/>
        <v>22.000000000000043</v>
      </c>
      <c r="N230" s="139" t="e">
        <f t="shared" si="33"/>
        <v>#REF!</v>
      </c>
      <c r="O230" s="139" t="e">
        <f t="shared" si="34"/>
        <v>#REF!</v>
      </c>
      <c r="P230" s="139" t="e">
        <f t="shared" si="35"/>
        <v>#REF!</v>
      </c>
      <c r="Q230" s="139" t="e">
        <f t="shared" si="36"/>
        <v>#REF!</v>
      </c>
      <c r="R230" s="140" t="e">
        <f t="shared" si="37"/>
        <v>#REF!</v>
      </c>
      <c r="S230" s="140" t="e">
        <f t="shared" si="38"/>
        <v>#REF!</v>
      </c>
      <c r="T230" s="40" t="e">
        <f t="shared" si="41"/>
        <v>#REF!</v>
      </c>
      <c r="U230" s="39" t="e">
        <f t="shared" si="32"/>
        <v>#REF!</v>
      </c>
      <c r="V230" s="139" t="e">
        <f t="shared" si="39"/>
        <v>#REF!</v>
      </c>
    </row>
    <row r="231" spans="13:22">
      <c r="M231" s="38">
        <f t="shared" si="40"/>
        <v>22.100000000000044</v>
      </c>
      <c r="N231" s="139" t="e">
        <f t="shared" si="33"/>
        <v>#REF!</v>
      </c>
      <c r="O231" s="139" t="e">
        <f t="shared" si="34"/>
        <v>#REF!</v>
      </c>
      <c r="P231" s="139" t="e">
        <f t="shared" si="35"/>
        <v>#REF!</v>
      </c>
      <c r="Q231" s="139" t="e">
        <f t="shared" si="36"/>
        <v>#REF!</v>
      </c>
      <c r="R231" s="140" t="e">
        <f t="shared" si="37"/>
        <v>#REF!</v>
      </c>
      <c r="S231" s="140" t="e">
        <f t="shared" si="38"/>
        <v>#REF!</v>
      </c>
      <c r="T231" s="40" t="e">
        <f t="shared" si="41"/>
        <v>#REF!</v>
      </c>
      <c r="U231" s="39" t="e">
        <f t="shared" si="32"/>
        <v>#REF!</v>
      </c>
      <c r="V231" s="139" t="e">
        <f t="shared" si="39"/>
        <v>#REF!</v>
      </c>
    </row>
    <row r="232" spans="13:22">
      <c r="M232" s="38">
        <f t="shared" si="40"/>
        <v>22.200000000000045</v>
      </c>
      <c r="N232" s="139" t="e">
        <f t="shared" si="33"/>
        <v>#REF!</v>
      </c>
      <c r="O232" s="139" t="e">
        <f t="shared" si="34"/>
        <v>#REF!</v>
      </c>
      <c r="P232" s="139" t="e">
        <f t="shared" si="35"/>
        <v>#REF!</v>
      </c>
      <c r="Q232" s="139" t="e">
        <f t="shared" si="36"/>
        <v>#REF!</v>
      </c>
      <c r="R232" s="140" t="e">
        <f t="shared" si="37"/>
        <v>#REF!</v>
      </c>
      <c r="S232" s="140" t="e">
        <f t="shared" si="38"/>
        <v>#REF!</v>
      </c>
      <c r="T232" s="40" t="e">
        <f t="shared" si="41"/>
        <v>#REF!</v>
      </c>
      <c r="U232" s="39" t="e">
        <f t="shared" si="32"/>
        <v>#REF!</v>
      </c>
      <c r="V232" s="139" t="e">
        <f t="shared" si="39"/>
        <v>#REF!</v>
      </c>
    </row>
    <row r="233" spans="13:22">
      <c r="M233" s="38">
        <f t="shared" si="40"/>
        <v>22.300000000000047</v>
      </c>
      <c r="N233" s="139" t="e">
        <f t="shared" si="33"/>
        <v>#REF!</v>
      </c>
      <c r="O233" s="139" t="e">
        <f t="shared" si="34"/>
        <v>#REF!</v>
      </c>
      <c r="P233" s="139" t="e">
        <f t="shared" si="35"/>
        <v>#REF!</v>
      </c>
      <c r="Q233" s="139" t="e">
        <f t="shared" si="36"/>
        <v>#REF!</v>
      </c>
      <c r="R233" s="140" t="e">
        <f t="shared" si="37"/>
        <v>#REF!</v>
      </c>
      <c r="S233" s="140" t="e">
        <f t="shared" si="38"/>
        <v>#REF!</v>
      </c>
      <c r="T233" s="40" t="e">
        <f t="shared" si="41"/>
        <v>#REF!</v>
      </c>
      <c r="U233" s="39" t="e">
        <f t="shared" si="32"/>
        <v>#REF!</v>
      </c>
      <c r="V233" s="139" t="e">
        <f t="shared" si="39"/>
        <v>#REF!</v>
      </c>
    </row>
    <row r="234" spans="13:22">
      <c r="M234" s="38">
        <f t="shared" si="40"/>
        <v>22.400000000000048</v>
      </c>
      <c r="N234" s="139" t="e">
        <f t="shared" si="33"/>
        <v>#REF!</v>
      </c>
      <c r="O234" s="139" t="e">
        <f t="shared" si="34"/>
        <v>#REF!</v>
      </c>
      <c r="P234" s="139" t="e">
        <f t="shared" si="35"/>
        <v>#REF!</v>
      </c>
      <c r="Q234" s="139" t="e">
        <f t="shared" si="36"/>
        <v>#REF!</v>
      </c>
      <c r="R234" s="140" t="e">
        <f t="shared" si="37"/>
        <v>#REF!</v>
      </c>
      <c r="S234" s="140" t="e">
        <f t="shared" si="38"/>
        <v>#REF!</v>
      </c>
      <c r="T234" s="40" t="e">
        <f t="shared" si="41"/>
        <v>#REF!</v>
      </c>
      <c r="U234" s="39" t="e">
        <f t="shared" si="32"/>
        <v>#REF!</v>
      </c>
      <c r="V234" s="139" t="e">
        <f t="shared" si="39"/>
        <v>#REF!</v>
      </c>
    </row>
    <row r="235" spans="13:22">
      <c r="M235" s="38">
        <f t="shared" si="40"/>
        <v>22.50000000000005</v>
      </c>
      <c r="N235" s="139" t="e">
        <f t="shared" si="33"/>
        <v>#REF!</v>
      </c>
      <c r="O235" s="139" t="e">
        <f t="shared" si="34"/>
        <v>#REF!</v>
      </c>
      <c r="P235" s="139" t="e">
        <f t="shared" si="35"/>
        <v>#REF!</v>
      </c>
      <c r="Q235" s="139" t="e">
        <f t="shared" si="36"/>
        <v>#REF!</v>
      </c>
      <c r="R235" s="140" t="e">
        <f t="shared" si="37"/>
        <v>#REF!</v>
      </c>
      <c r="S235" s="140" t="e">
        <f t="shared" si="38"/>
        <v>#REF!</v>
      </c>
      <c r="T235" s="40" t="e">
        <f t="shared" si="41"/>
        <v>#REF!</v>
      </c>
      <c r="U235" s="39" t="e">
        <f t="shared" si="32"/>
        <v>#REF!</v>
      </c>
      <c r="V235" s="139" t="e">
        <f t="shared" si="39"/>
        <v>#REF!</v>
      </c>
    </row>
    <row r="236" spans="13:22">
      <c r="M236" s="38">
        <f t="shared" si="40"/>
        <v>22.600000000000051</v>
      </c>
      <c r="N236" s="139" t="e">
        <f t="shared" si="33"/>
        <v>#REF!</v>
      </c>
      <c r="O236" s="139" t="e">
        <f t="shared" si="34"/>
        <v>#REF!</v>
      </c>
      <c r="P236" s="139" t="e">
        <f t="shared" si="35"/>
        <v>#REF!</v>
      </c>
      <c r="Q236" s="139" t="e">
        <f t="shared" si="36"/>
        <v>#REF!</v>
      </c>
      <c r="R236" s="140" t="e">
        <f t="shared" si="37"/>
        <v>#REF!</v>
      </c>
      <c r="S236" s="140" t="e">
        <f t="shared" si="38"/>
        <v>#REF!</v>
      </c>
      <c r="T236" s="40" t="e">
        <f t="shared" si="41"/>
        <v>#REF!</v>
      </c>
      <c r="U236" s="39" t="e">
        <f t="shared" si="32"/>
        <v>#REF!</v>
      </c>
      <c r="V236" s="139" t="e">
        <f t="shared" si="39"/>
        <v>#REF!</v>
      </c>
    </row>
    <row r="237" spans="13:22">
      <c r="M237" s="38">
        <f t="shared" si="40"/>
        <v>22.700000000000053</v>
      </c>
      <c r="N237" s="139" t="e">
        <f t="shared" si="33"/>
        <v>#REF!</v>
      </c>
      <c r="O237" s="139" t="e">
        <f t="shared" si="34"/>
        <v>#REF!</v>
      </c>
      <c r="P237" s="139" t="e">
        <f t="shared" si="35"/>
        <v>#REF!</v>
      </c>
      <c r="Q237" s="139" t="e">
        <f t="shared" si="36"/>
        <v>#REF!</v>
      </c>
      <c r="R237" s="140" t="e">
        <f t="shared" si="37"/>
        <v>#REF!</v>
      </c>
      <c r="S237" s="140" t="e">
        <f t="shared" si="38"/>
        <v>#REF!</v>
      </c>
      <c r="T237" s="40" t="e">
        <f t="shared" si="41"/>
        <v>#REF!</v>
      </c>
      <c r="U237" s="39" t="e">
        <f t="shared" si="32"/>
        <v>#REF!</v>
      </c>
      <c r="V237" s="139" t="e">
        <f t="shared" si="39"/>
        <v>#REF!</v>
      </c>
    </row>
    <row r="238" spans="13:22">
      <c r="M238" s="38">
        <f t="shared" si="40"/>
        <v>22.800000000000054</v>
      </c>
      <c r="N238" s="139" t="e">
        <f t="shared" si="33"/>
        <v>#REF!</v>
      </c>
      <c r="O238" s="139" t="e">
        <f t="shared" si="34"/>
        <v>#REF!</v>
      </c>
      <c r="P238" s="139" t="e">
        <f t="shared" si="35"/>
        <v>#REF!</v>
      </c>
      <c r="Q238" s="139" t="e">
        <f t="shared" si="36"/>
        <v>#REF!</v>
      </c>
      <c r="R238" s="140" t="e">
        <f t="shared" si="37"/>
        <v>#REF!</v>
      </c>
      <c r="S238" s="140" t="e">
        <f t="shared" si="38"/>
        <v>#REF!</v>
      </c>
      <c r="T238" s="40" t="e">
        <f t="shared" si="41"/>
        <v>#REF!</v>
      </c>
      <c r="U238" s="39" t="e">
        <f t="shared" si="32"/>
        <v>#REF!</v>
      </c>
      <c r="V238" s="139" t="e">
        <f t="shared" si="39"/>
        <v>#REF!</v>
      </c>
    </row>
    <row r="239" spans="13:22">
      <c r="M239" s="38">
        <f t="shared" si="40"/>
        <v>22.900000000000055</v>
      </c>
      <c r="N239" s="139" t="e">
        <f t="shared" si="33"/>
        <v>#REF!</v>
      </c>
      <c r="O239" s="139" t="e">
        <f t="shared" si="34"/>
        <v>#REF!</v>
      </c>
      <c r="P239" s="139" t="e">
        <f t="shared" si="35"/>
        <v>#REF!</v>
      </c>
      <c r="Q239" s="139" t="e">
        <f t="shared" si="36"/>
        <v>#REF!</v>
      </c>
      <c r="R239" s="140" t="e">
        <f t="shared" si="37"/>
        <v>#REF!</v>
      </c>
      <c r="S239" s="140" t="e">
        <f t="shared" si="38"/>
        <v>#REF!</v>
      </c>
      <c r="T239" s="40" t="e">
        <f t="shared" si="41"/>
        <v>#REF!</v>
      </c>
      <c r="U239" s="39" t="e">
        <f t="shared" si="32"/>
        <v>#REF!</v>
      </c>
      <c r="V239" s="139" t="e">
        <f t="shared" si="39"/>
        <v>#REF!</v>
      </c>
    </row>
    <row r="240" spans="13:22">
      <c r="M240" s="38">
        <f t="shared" si="40"/>
        <v>23.000000000000057</v>
      </c>
      <c r="N240" s="139" t="e">
        <f t="shared" si="33"/>
        <v>#REF!</v>
      </c>
      <c r="O240" s="139" t="e">
        <f t="shared" si="34"/>
        <v>#REF!</v>
      </c>
      <c r="P240" s="139" t="e">
        <f t="shared" si="35"/>
        <v>#REF!</v>
      </c>
      <c r="Q240" s="139" t="e">
        <f t="shared" si="36"/>
        <v>#REF!</v>
      </c>
      <c r="R240" s="140" t="e">
        <f t="shared" si="37"/>
        <v>#REF!</v>
      </c>
      <c r="S240" s="140" t="e">
        <f t="shared" si="38"/>
        <v>#REF!</v>
      </c>
      <c r="T240" s="40" t="e">
        <f t="shared" si="41"/>
        <v>#REF!</v>
      </c>
      <c r="U240" s="39" t="e">
        <f t="shared" si="32"/>
        <v>#REF!</v>
      </c>
      <c r="V240" s="139" t="e">
        <f t="shared" si="39"/>
        <v>#REF!</v>
      </c>
    </row>
    <row r="241" spans="13:22">
      <c r="M241" s="38">
        <f t="shared" si="40"/>
        <v>23.100000000000058</v>
      </c>
      <c r="N241" s="139" t="e">
        <f t="shared" si="33"/>
        <v>#REF!</v>
      </c>
      <c r="O241" s="139" t="e">
        <f t="shared" si="34"/>
        <v>#REF!</v>
      </c>
      <c r="P241" s="139" t="e">
        <f t="shared" si="35"/>
        <v>#REF!</v>
      </c>
      <c r="Q241" s="139" t="e">
        <f t="shared" si="36"/>
        <v>#REF!</v>
      </c>
      <c r="R241" s="140" t="e">
        <f t="shared" si="37"/>
        <v>#REF!</v>
      </c>
      <c r="S241" s="140" t="e">
        <f t="shared" si="38"/>
        <v>#REF!</v>
      </c>
      <c r="T241" s="40" t="e">
        <f t="shared" si="41"/>
        <v>#REF!</v>
      </c>
      <c r="U241" s="39" t="e">
        <f t="shared" si="32"/>
        <v>#REF!</v>
      </c>
      <c r="V241" s="139" t="e">
        <f t="shared" si="39"/>
        <v>#REF!</v>
      </c>
    </row>
    <row r="242" spans="13:22">
      <c r="M242" s="38">
        <f t="shared" si="40"/>
        <v>23.20000000000006</v>
      </c>
      <c r="N242" s="139" t="e">
        <f t="shared" si="33"/>
        <v>#REF!</v>
      </c>
      <c r="O242" s="139" t="e">
        <f t="shared" si="34"/>
        <v>#REF!</v>
      </c>
      <c r="P242" s="139" t="e">
        <f t="shared" si="35"/>
        <v>#REF!</v>
      </c>
      <c r="Q242" s="139" t="e">
        <f t="shared" si="36"/>
        <v>#REF!</v>
      </c>
      <c r="R242" s="140" t="e">
        <f t="shared" si="37"/>
        <v>#REF!</v>
      </c>
      <c r="S242" s="140" t="e">
        <f t="shared" si="38"/>
        <v>#REF!</v>
      </c>
      <c r="T242" s="40" t="e">
        <f t="shared" si="41"/>
        <v>#REF!</v>
      </c>
      <c r="U242" s="39" t="e">
        <f t="shared" si="32"/>
        <v>#REF!</v>
      </c>
      <c r="V242" s="139" t="e">
        <f t="shared" si="39"/>
        <v>#REF!</v>
      </c>
    </row>
    <row r="243" spans="13:22">
      <c r="M243" s="38">
        <f t="shared" si="40"/>
        <v>23.300000000000061</v>
      </c>
      <c r="N243" s="139" t="e">
        <f t="shared" si="33"/>
        <v>#REF!</v>
      </c>
      <c r="O243" s="139" t="e">
        <f t="shared" si="34"/>
        <v>#REF!</v>
      </c>
      <c r="P243" s="139" t="e">
        <f t="shared" si="35"/>
        <v>#REF!</v>
      </c>
      <c r="Q243" s="139" t="e">
        <f t="shared" si="36"/>
        <v>#REF!</v>
      </c>
      <c r="R243" s="140" t="e">
        <f t="shared" si="37"/>
        <v>#REF!</v>
      </c>
      <c r="S243" s="140" t="e">
        <f t="shared" si="38"/>
        <v>#REF!</v>
      </c>
      <c r="T243" s="40" t="e">
        <f t="shared" si="41"/>
        <v>#REF!</v>
      </c>
      <c r="U243" s="39" t="e">
        <f t="shared" si="32"/>
        <v>#REF!</v>
      </c>
      <c r="V243" s="139" t="e">
        <f t="shared" si="39"/>
        <v>#REF!</v>
      </c>
    </row>
    <row r="244" spans="13:22">
      <c r="M244" s="38">
        <f t="shared" si="40"/>
        <v>23.400000000000063</v>
      </c>
      <c r="N244" s="139" t="e">
        <f t="shared" si="33"/>
        <v>#REF!</v>
      </c>
      <c r="O244" s="139" t="e">
        <f t="shared" si="34"/>
        <v>#REF!</v>
      </c>
      <c r="P244" s="139" t="e">
        <f t="shared" si="35"/>
        <v>#REF!</v>
      </c>
      <c r="Q244" s="139" t="e">
        <f t="shared" si="36"/>
        <v>#REF!</v>
      </c>
      <c r="R244" s="140" t="e">
        <f t="shared" si="37"/>
        <v>#REF!</v>
      </c>
      <c r="S244" s="140" t="e">
        <f t="shared" si="38"/>
        <v>#REF!</v>
      </c>
      <c r="T244" s="40" t="e">
        <f t="shared" si="41"/>
        <v>#REF!</v>
      </c>
      <c r="U244" s="39" t="e">
        <f t="shared" si="32"/>
        <v>#REF!</v>
      </c>
      <c r="V244" s="139" t="e">
        <f t="shared" si="39"/>
        <v>#REF!</v>
      </c>
    </row>
    <row r="245" spans="13:22">
      <c r="M245" s="38">
        <f t="shared" si="40"/>
        <v>23.500000000000064</v>
      </c>
      <c r="N245" s="139" t="e">
        <f t="shared" si="33"/>
        <v>#REF!</v>
      </c>
      <c r="O245" s="139" t="e">
        <f t="shared" si="34"/>
        <v>#REF!</v>
      </c>
      <c r="P245" s="139" t="e">
        <f t="shared" si="35"/>
        <v>#REF!</v>
      </c>
      <c r="Q245" s="139" t="e">
        <f t="shared" si="36"/>
        <v>#REF!</v>
      </c>
      <c r="R245" s="140" t="e">
        <f t="shared" si="37"/>
        <v>#REF!</v>
      </c>
      <c r="S245" s="140" t="e">
        <f t="shared" si="38"/>
        <v>#REF!</v>
      </c>
      <c r="T245" s="40" t="e">
        <f t="shared" si="41"/>
        <v>#REF!</v>
      </c>
      <c r="U245" s="39" t="e">
        <f t="shared" si="32"/>
        <v>#REF!</v>
      </c>
      <c r="V245" s="139" t="e">
        <f t="shared" si="39"/>
        <v>#REF!</v>
      </c>
    </row>
    <row r="246" spans="13:22">
      <c r="M246" s="38">
        <f t="shared" si="40"/>
        <v>23.600000000000065</v>
      </c>
      <c r="N246" s="139" t="e">
        <f t="shared" si="33"/>
        <v>#REF!</v>
      </c>
      <c r="O246" s="139" t="e">
        <f t="shared" si="34"/>
        <v>#REF!</v>
      </c>
      <c r="P246" s="139" t="e">
        <f t="shared" si="35"/>
        <v>#REF!</v>
      </c>
      <c r="Q246" s="139" t="e">
        <f t="shared" si="36"/>
        <v>#REF!</v>
      </c>
      <c r="R246" s="140" t="e">
        <f t="shared" si="37"/>
        <v>#REF!</v>
      </c>
      <c r="S246" s="140" t="e">
        <f t="shared" si="38"/>
        <v>#REF!</v>
      </c>
      <c r="T246" s="40" t="e">
        <f t="shared" si="41"/>
        <v>#REF!</v>
      </c>
      <c r="U246" s="39" t="e">
        <f t="shared" si="32"/>
        <v>#REF!</v>
      </c>
      <c r="V246" s="139" t="e">
        <f t="shared" si="39"/>
        <v>#REF!</v>
      </c>
    </row>
    <row r="247" spans="13:22">
      <c r="M247" s="38">
        <f t="shared" si="40"/>
        <v>23.700000000000067</v>
      </c>
      <c r="N247" s="139" t="e">
        <f t="shared" si="33"/>
        <v>#REF!</v>
      </c>
      <c r="O247" s="139" t="e">
        <f t="shared" si="34"/>
        <v>#REF!</v>
      </c>
      <c r="P247" s="139" t="e">
        <f t="shared" si="35"/>
        <v>#REF!</v>
      </c>
      <c r="Q247" s="139" t="e">
        <f t="shared" si="36"/>
        <v>#REF!</v>
      </c>
      <c r="R247" s="140" t="e">
        <f t="shared" si="37"/>
        <v>#REF!</v>
      </c>
      <c r="S247" s="140" t="e">
        <f t="shared" si="38"/>
        <v>#REF!</v>
      </c>
      <c r="T247" s="40" t="e">
        <f t="shared" si="41"/>
        <v>#REF!</v>
      </c>
      <c r="U247" s="39" t="e">
        <f t="shared" si="32"/>
        <v>#REF!</v>
      </c>
      <c r="V247" s="139" t="e">
        <f t="shared" si="39"/>
        <v>#REF!</v>
      </c>
    </row>
    <row r="248" spans="13:22">
      <c r="M248" s="38">
        <f t="shared" si="40"/>
        <v>23.800000000000068</v>
      </c>
      <c r="N248" s="139" t="e">
        <f t="shared" si="33"/>
        <v>#REF!</v>
      </c>
      <c r="O248" s="139" t="e">
        <f t="shared" si="34"/>
        <v>#REF!</v>
      </c>
      <c r="P248" s="139" t="e">
        <f t="shared" si="35"/>
        <v>#REF!</v>
      </c>
      <c r="Q248" s="139" t="e">
        <f t="shared" si="36"/>
        <v>#REF!</v>
      </c>
      <c r="R248" s="140" t="e">
        <f t="shared" si="37"/>
        <v>#REF!</v>
      </c>
      <c r="S248" s="140" t="e">
        <f t="shared" si="38"/>
        <v>#REF!</v>
      </c>
      <c r="T248" s="40" t="e">
        <f t="shared" si="41"/>
        <v>#REF!</v>
      </c>
      <c r="U248" s="39" t="e">
        <f t="shared" si="32"/>
        <v>#REF!</v>
      </c>
      <c r="V248" s="139" t="e">
        <f t="shared" si="39"/>
        <v>#REF!</v>
      </c>
    </row>
    <row r="249" spans="13:22">
      <c r="M249" s="38">
        <f t="shared" si="40"/>
        <v>23.90000000000007</v>
      </c>
      <c r="N249" s="139" t="e">
        <f t="shared" si="33"/>
        <v>#REF!</v>
      </c>
      <c r="O249" s="139" t="e">
        <f t="shared" si="34"/>
        <v>#REF!</v>
      </c>
      <c r="P249" s="139" t="e">
        <f t="shared" si="35"/>
        <v>#REF!</v>
      </c>
      <c r="Q249" s="139" t="e">
        <f t="shared" si="36"/>
        <v>#REF!</v>
      </c>
      <c r="R249" s="140" t="e">
        <f t="shared" si="37"/>
        <v>#REF!</v>
      </c>
      <c r="S249" s="140" t="e">
        <f t="shared" si="38"/>
        <v>#REF!</v>
      </c>
      <c r="T249" s="40" t="e">
        <f t="shared" si="41"/>
        <v>#REF!</v>
      </c>
      <c r="U249" s="39" t="e">
        <f t="shared" si="32"/>
        <v>#REF!</v>
      </c>
      <c r="V249" s="139" t="e">
        <f t="shared" si="39"/>
        <v>#REF!</v>
      </c>
    </row>
    <row r="250" spans="13:22">
      <c r="M250" s="38">
        <f t="shared" si="40"/>
        <v>24.000000000000071</v>
      </c>
      <c r="N250" s="139" t="e">
        <f t="shared" si="33"/>
        <v>#REF!</v>
      </c>
      <c r="O250" s="139" t="e">
        <f t="shared" si="34"/>
        <v>#REF!</v>
      </c>
      <c r="P250" s="139" t="e">
        <f t="shared" si="35"/>
        <v>#REF!</v>
      </c>
      <c r="Q250" s="139" t="e">
        <f t="shared" si="36"/>
        <v>#REF!</v>
      </c>
      <c r="R250" s="140" t="e">
        <f t="shared" si="37"/>
        <v>#REF!</v>
      </c>
      <c r="S250" s="140" t="e">
        <f t="shared" si="38"/>
        <v>#REF!</v>
      </c>
      <c r="T250" s="40" t="e">
        <f t="shared" si="41"/>
        <v>#REF!</v>
      </c>
      <c r="U250" s="39" t="e">
        <f t="shared" si="32"/>
        <v>#REF!</v>
      </c>
      <c r="V250" s="139" t="e">
        <f t="shared" si="39"/>
        <v>#REF!</v>
      </c>
    </row>
    <row r="251" spans="13:22">
      <c r="M251" s="38">
        <f t="shared" si="40"/>
        <v>24.100000000000072</v>
      </c>
      <c r="N251" s="139" t="e">
        <f t="shared" si="33"/>
        <v>#REF!</v>
      </c>
      <c r="O251" s="139" t="e">
        <f t="shared" si="34"/>
        <v>#REF!</v>
      </c>
      <c r="P251" s="139" t="e">
        <f t="shared" si="35"/>
        <v>#REF!</v>
      </c>
      <c r="Q251" s="139" t="e">
        <f t="shared" si="36"/>
        <v>#REF!</v>
      </c>
      <c r="R251" s="140" t="e">
        <f t="shared" si="37"/>
        <v>#REF!</v>
      </c>
      <c r="S251" s="140" t="e">
        <f t="shared" si="38"/>
        <v>#REF!</v>
      </c>
      <c r="T251" s="40" t="e">
        <f t="shared" si="41"/>
        <v>#REF!</v>
      </c>
      <c r="U251" s="39" t="e">
        <f t="shared" si="32"/>
        <v>#REF!</v>
      </c>
      <c r="V251" s="139" t="e">
        <f t="shared" si="39"/>
        <v>#REF!</v>
      </c>
    </row>
    <row r="252" spans="13:22">
      <c r="M252" s="38">
        <f t="shared" si="40"/>
        <v>24.200000000000074</v>
      </c>
      <c r="N252" s="139" t="e">
        <f t="shared" si="33"/>
        <v>#REF!</v>
      </c>
      <c r="O252" s="139" t="e">
        <f t="shared" si="34"/>
        <v>#REF!</v>
      </c>
      <c r="P252" s="139" t="e">
        <f t="shared" si="35"/>
        <v>#REF!</v>
      </c>
      <c r="Q252" s="139" t="e">
        <f t="shared" si="36"/>
        <v>#REF!</v>
      </c>
      <c r="R252" s="140" t="e">
        <f t="shared" si="37"/>
        <v>#REF!</v>
      </c>
      <c r="S252" s="140" t="e">
        <f t="shared" si="38"/>
        <v>#REF!</v>
      </c>
      <c r="T252" s="40" t="e">
        <f t="shared" si="41"/>
        <v>#REF!</v>
      </c>
      <c r="U252" s="39" t="e">
        <f t="shared" si="32"/>
        <v>#REF!</v>
      </c>
      <c r="V252" s="139" t="e">
        <f t="shared" si="39"/>
        <v>#REF!</v>
      </c>
    </row>
    <row r="253" spans="13:22">
      <c r="M253" s="38">
        <f t="shared" si="40"/>
        <v>24.300000000000075</v>
      </c>
      <c r="N253" s="139" t="e">
        <f t="shared" si="33"/>
        <v>#REF!</v>
      </c>
      <c r="O253" s="139" t="e">
        <f t="shared" si="34"/>
        <v>#REF!</v>
      </c>
      <c r="P253" s="139" t="e">
        <f t="shared" si="35"/>
        <v>#REF!</v>
      </c>
      <c r="Q253" s="139" t="e">
        <f t="shared" si="36"/>
        <v>#REF!</v>
      </c>
      <c r="R253" s="140" t="e">
        <f t="shared" si="37"/>
        <v>#REF!</v>
      </c>
      <c r="S253" s="140" t="e">
        <f t="shared" si="38"/>
        <v>#REF!</v>
      </c>
      <c r="T253" s="40" t="e">
        <f t="shared" si="41"/>
        <v>#REF!</v>
      </c>
      <c r="U253" s="39" t="e">
        <f t="shared" si="32"/>
        <v>#REF!</v>
      </c>
      <c r="V253" s="139" t="e">
        <f t="shared" si="39"/>
        <v>#REF!</v>
      </c>
    </row>
    <row r="254" spans="13:22">
      <c r="M254" s="38">
        <f t="shared" si="40"/>
        <v>24.400000000000077</v>
      </c>
      <c r="N254" s="139" t="e">
        <f t="shared" si="33"/>
        <v>#REF!</v>
      </c>
      <c r="O254" s="139" t="e">
        <f t="shared" si="34"/>
        <v>#REF!</v>
      </c>
      <c r="P254" s="139" t="e">
        <f t="shared" si="35"/>
        <v>#REF!</v>
      </c>
      <c r="Q254" s="139" t="e">
        <f t="shared" si="36"/>
        <v>#REF!</v>
      </c>
      <c r="R254" s="140" t="e">
        <f t="shared" si="37"/>
        <v>#REF!</v>
      </c>
      <c r="S254" s="140" t="e">
        <f t="shared" si="38"/>
        <v>#REF!</v>
      </c>
      <c r="T254" s="40" t="e">
        <f t="shared" si="41"/>
        <v>#REF!</v>
      </c>
      <c r="U254" s="39" t="e">
        <f t="shared" si="32"/>
        <v>#REF!</v>
      </c>
      <c r="V254" s="139" t="e">
        <f t="shared" si="39"/>
        <v>#REF!</v>
      </c>
    </row>
    <row r="255" spans="13:22">
      <c r="M255" s="38">
        <f t="shared" si="40"/>
        <v>24.500000000000078</v>
      </c>
      <c r="N255" s="139" t="e">
        <f t="shared" si="33"/>
        <v>#REF!</v>
      </c>
      <c r="O255" s="139" t="e">
        <f t="shared" si="34"/>
        <v>#REF!</v>
      </c>
      <c r="P255" s="139" t="e">
        <f t="shared" si="35"/>
        <v>#REF!</v>
      </c>
      <c r="Q255" s="139" t="e">
        <f t="shared" si="36"/>
        <v>#REF!</v>
      </c>
      <c r="R255" s="140" t="e">
        <f t="shared" si="37"/>
        <v>#REF!</v>
      </c>
      <c r="S255" s="140" t="e">
        <f t="shared" si="38"/>
        <v>#REF!</v>
      </c>
      <c r="T255" s="40" t="e">
        <f t="shared" si="41"/>
        <v>#REF!</v>
      </c>
      <c r="U255" s="39" t="e">
        <f t="shared" si="32"/>
        <v>#REF!</v>
      </c>
      <c r="V255" s="139" t="e">
        <f t="shared" si="39"/>
        <v>#REF!</v>
      </c>
    </row>
    <row r="256" spans="13:22">
      <c r="M256" s="38">
        <f t="shared" si="40"/>
        <v>24.60000000000008</v>
      </c>
      <c r="N256" s="139" t="e">
        <f t="shared" si="33"/>
        <v>#REF!</v>
      </c>
      <c r="O256" s="139" t="e">
        <f t="shared" si="34"/>
        <v>#REF!</v>
      </c>
      <c r="P256" s="139" t="e">
        <f t="shared" si="35"/>
        <v>#REF!</v>
      </c>
      <c r="Q256" s="139" t="e">
        <f t="shared" si="36"/>
        <v>#REF!</v>
      </c>
      <c r="R256" s="140" t="e">
        <f t="shared" si="37"/>
        <v>#REF!</v>
      </c>
      <c r="S256" s="140" t="e">
        <f t="shared" si="38"/>
        <v>#REF!</v>
      </c>
      <c r="T256" s="40" t="e">
        <f t="shared" si="41"/>
        <v>#REF!</v>
      </c>
      <c r="U256" s="39" t="e">
        <f t="shared" si="32"/>
        <v>#REF!</v>
      </c>
      <c r="V256" s="139" t="e">
        <f t="shared" si="39"/>
        <v>#REF!</v>
      </c>
    </row>
    <row r="257" spans="13:22">
      <c r="M257" s="38">
        <f t="shared" si="40"/>
        <v>24.700000000000081</v>
      </c>
      <c r="N257" s="139" t="e">
        <f t="shared" si="33"/>
        <v>#REF!</v>
      </c>
      <c r="O257" s="139" t="e">
        <f t="shared" si="34"/>
        <v>#REF!</v>
      </c>
      <c r="P257" s="139" t="e">
        <f t="shared" si="35"/>
        <v>#REF!</v>
      </c>
      <c r="Q257" s="139" t="e">
        <f t="shared" si="36"/>
        <v>#REF!</v>
      </c>
      <c r="R257" s="140" t="e">
        <f t="shared" si="37"/>
        <v>#REF!</v>
      </c>
      <c r="S257" s="140" t="e">
        <f t="shared" si="38"/>
        <v>#REF!</v>
      </c>
      <c r="T257" s="40" t="e">
        <f t="shared" si="41"/>
        <v>#REF!</v>
      </c>
      <c r="U257" s="39" t="e">
        <f t="shared" si="32"/>
        <v>#REF!</v>
      </c>
      <c r="V257" s="139" t="e">
        <f t="shared" si="39"/>
        <v>#REF!</v>
      </c>
    </row>
    <row r="258" spans="13:22">
      <c r="M258" s="38">
        <f t="shared" si="40"/>
        <v>24.800000000000082</v>
      </c>
      <c r="N258" s="139" t="e">
        <f t="shared" si="33"/>
        <v>#REF!</v>
      </c>
      <c r="O258" s="139" t="e">
        <f t="shared" si="34"/>
        <v>#REF!</v>
      </c>
      <c r="P258" s="139" t="e">
        <f t="shared" si="35"/>
        <v>#REF!</v>
      </c>
      <c r="Q258" s="139" t="e">
        <f t="shared" si="36"/>
        <v>#REF!</v>
      </c>
      <c r="R258" s="140" t="e">
        <f t="shared" si="37"/>
        <v>#REF!</v>
      </c>
      <c r="S258" s="140" t="e">
        <f t="shared" si="38"/>
        <v>#REF!</v>
      </c>
      <c r="T258" s="40" t="e">
        <f t="shared" si="41"/>
        <v>#REF!</v>
      </c>
      <c r="U258" s="39" t="e">
        <f t="shared" si="32"/>
        <v>#REF!</v>
      </c>
      <c r="V258" s="139" t="e">
        <f t="shared" si="39"/>
        <v>#REF!</v>
      </c>
    </row>
    <row r="259" spans="13:22">
      <c r="M259" s="38">
        <f t="shared" si="40"/>
        <v>24.900000000000084</v>
      </c>
      <c r="N259" s="139" t="e">
        <f t="shared" si="33"/>
        <v>#REF!</v>
      </c>
      <c r="O259" s="139" t="e">
        <f t="shared" si="34"/>
        <v>#REF!</v>
      </c>
      <c r="P259" s="139" t="e">
        <f t="shared" si="35"/>
        <v>#REF!</v>
      </c>
      <c r="Q259" s="139" t="e">
        <f t="shared" si="36"/>
        <v>#REF!</v>
      </c>
      <c r="R259" s="140" t="e">
        <f t="shared" si="37"/>
        <v>#REF!</v>
      </c>
      <c r="S259" s="140" t="e">
        <f t="shared" si="38"/>
        <v>#REF!</v>
      </c>
      <c r="T259" s="40" t="e">
        <f t="shared" si="41"/>
        <v>#REF!</v>
      </c>
      <c r="U259" s="39" t="e">
        <f t="shared" si="32"/>
        <v>#REF!</v>
      </c>
      <c r="V259" s="139" t="e">
        <f t="shared" si="39"/>
        <v>#REF!</v>
      </c>
    </row>
    <row r="260" spans="13:22">
      <c r="M260" s="38">
        <f t="shared" si="40"/>
        <v>25.000000000000085</v>
      </c>
      <c r="N260" s="139" t="e">
        <f t="shared" si="33"/>
        <v>#REF!</v>
      </c>
      <c r="O260" s="139" t="e">
        <f t="shared" si="34"/>
        <v>#REF!</v>
      </c>
      <c r="P260" s="139" t="e">
        <f t="shared" si="35"/>
        <v>#REF!</v>
      </c>
      <c r="Q260" s="139" t="e">
        <f t="shared" si="36"/>
        <v>#REF!</v>
      </c>
      <c r="R260" s="140" t="e">
        <f t="shared" si="37"/>
        <v>#REF!</v>
      </c>
      <c r="S260" s="140" t="e">
        <f t="shared" si="38"/>
        <v>#REF!</v>
      </c>
      <c r="T260" s="40" t="e">
        <f t="shared" si="41"/>
        <v>#REF!</v>
      </c>
      <c r="U260" s="39" t="e">
        <f t="shared" si="32"/>
        <v>#REF!</v>
      </c>
      <c r="V260" s="139" t="e">
        <f t="shared" si="39"/>
        <v>#REF!</v>
      </c>
    </row>
    <row r="261" spans="13:22">
      <c r="M261" s="38">
        <f t="shared" si="40"/>
        <v>25.100000000000087</v>
      </c>
      <c r="N261" s="139" t="e">
        <f t="shared" si="33"/>
        <v>#REF!</v>
      </c>
      <c r="O261" s="139" t="e">
        <f t="shared" si="34"/>
        <v>#REF!</v>
      </c>
      <c r="P261" s="139" t="e">
        <f t="shared" si="35"/>
        <v>#REF!</v>
      </c>
      <c r="Q261" s="139" t="e">
        <f t="shared" si="36"/>
        <v>#REF!</v>
      </c>
      <c r="R261" s="140" t="e">
        <f t="shared" si="37"/>
        <v>#REF!</v>
      </c>
      <c r="S261" s="140" t="e">
        <f t="shared" si="38"/>
        <v>#REF!</v>
      </c>
      <c r="T261" s="40" t="e">
        <f t="shared" si="41"/>
        <v>#REF!</v>
      </c>
      <c r="U261" s="39" t="e">
        <f t="shared" si="32"/>
        <v>#REF!</v>
      </c>
      <c r="V261" s="139" t="e">
        <f t="shared" si="39"/>
        <v>#REF!</v>
      </c>
    </row>
    <row r="262" spans="13:22">
      <c r="M262" s="38">
        <f t="shared" si="40"/>
        <v>25.200000000000088</v>
      </c>
      <c r="N262" s="139" t="e">
        <f t="shared" si="33"/>
        <v>#REF!</v>
      </c>
      <c r="O262" s="139" t="e">
        <f t="shared" si="34"/>
        <v>#REF!</v>
      </c>
      <c r="P262" s="139" t="e">
        <f t="shared" si="35"/>
        <v>#REF!</v>
      </c>
      <c r="Q262" s="139" t="e">
        <f t="shared" si="36"/>
        <v>#REF!</v>
      </c>
      <c r="R262" s="140" t="e">
        <f t="shared" si="37"/>
        <v>#REF!</v>
      </c>
      <c r="S262" s="140" t="e">
        <f t="shared" si="38"/>
        <v>#REF!</v>
      </c>
      <c r="T262" s="40" t="e">
        <f t="shared" si="41"/>
        <v>#REF!</v>
      </c>
      <c r="U262" s="39" t="e">
        <f t="shared" si="32"/>
        <v>#REF!</v>
      </c>
      <c r="V262" s="139" t="e">
        <f t="shared" si="39"/>
        <v>#REF!</v>
      </c>
    </row>
    <row r="263" spans="13:22">
      <c r="M263" s="38">
        <f t="shared" si="40"/>
        <v>25.30000000000009</v>
      </c>
      <c r="N263" s="139" t="e">
        <f t="shared" si="33"/>
        <v>#REF!</v>
      </c>
      <c r="O263" s="139" t="e">
        <f t="shared" si="34"/>
        <v>#REF!</v>
      </c>
      <c r="P263" s="139" t="e">
        <f t="shared" si="35"/>
        <v>#REF!</v>
      </c>
      <c r="Q263" s="139" t="e">
        <f t="shared" si="36"/>
        <v>#REF!</v>
      </c>
      <c r="R263" s="140" t="e">
        <f t="shared" si="37"/>
        <v>#REF!</v>
      </c>
      <c r="S263" s="140" t="e">
        <f t="shared" si="38"/>
        <v>#REF!</v>
      </c>
      <c r="T263" s="40" t="e">
        <f t="shared" si="41"/>
        <v>#REF!</v>
      </c>
      <c r="U263" s="39" t="e">
        <f t="shared" si="32"/>
        <v>#REF!</v>
      </c>
      <c r="V263" s="139" t="e">
        <f t="shared" si="39"/>
        <v>#REF!</v>
      </c>
    </row>
    <row r="264" spans="13:22">
      <c r="M264" s="38">
        <f t="shared" si="40"/>
        <v>25.400000000000091</v>
      </c>
      <c r="N264" s="139" t="e">
        <f t="shared" si="33"/>
        <v>#REF!</v>
      </c>
      <c r="O264" s="139" t="e">
        <f t="shared" si="34"/>
        <v>#REF!</v>
      </c>
      <c r="P264" s="139" t="e">
        <f t="shared" si="35"/>
        <v>#REF!</v>
      </c>
      <c r="Q264" s="139" t="e">
        <f t="shared" si="36"/>
        <v>#REF!</v>
      </c>
      <c r="R264" s="140" t="e">
        <f t="shared" si="37"/>
        <v>#REF!</v>
      </c>
      <c r="S264" s="140" t="e">
        <f t="shared" si="38"/>
        <v>#REF!</v>
      </c>
      <c r="T264" s="40" t="e">
        <f t="shared" si="41"/>
        <v>#REF!</v>
      </c>
      <c r="U264" s="39" t="e">
        <f t="shared" ref="U264:U330" si="42">ktot*N264</f>
        <v>#REF!</v>
      </c>
      <c r="V264" s="139" t="e">
        <f t="shared" si="39"/>
        <v>#REF!</v>
      </c>
    </row>
    <row r="265" spans="13:22">
      <c r="M265" s="38">
        <f t="shared" si="40"/>
        <v>25.500000000000092</v>
      </c>
      <c r="N265" s="139" t="e">
        <f t="shared" si="33"/>
        <v>#REF!</v>
      </c>
      <c r="O265" s="139" t="e">
        <f t="shared" si="34"/>
        <v>#REF!</v>
      </c>
      <c r="P265" s="139" t="e">
        <f t="shared" si="35"/>
        <v>#REF!</v>
      </c>
      <c r="Q265" s="139" t="e">
        <f t="shared" si="36"/>
        <v>#REF!</v>
      </c>
      <c r="R265" s="140" t="e">
        <f t="shared" si="37"/>
        <v>#REF!</v>
      </c>
      <c r="S265" s="140" t="e">
        <f t="shared" si="38"/>
        <v>#REF!</v>
      </c>
      <c r="T265" s="40" t="e">
        <f t="shared" si="41"/>
        <v>#REF!</v>
      </c>
      <c r="U265" s="39" t="e">
        <f t="shared" si="42"/>
        <v>#REF!</v>
      </c>
      <c r="V265" s="139" t="e">
        <f t="shared" si="39"/>
        <v>#REF!</v>
      </c>
    </row>
    <row r="266" spans="13:22">
      <c r="M266" s="38">
        <f t="shared" si="40"/>
        <v>25.600000000000094</v>
      </c>
      <c r="N266" s="139" t="e">
        <f t="shared" ref="N266:N310" si="43">(1/(ESchiene*ISchiene))*((Achslast_4*10^3/2)/(8*(1/Lelastisch)^3)*EXP(-(1/Lelastisch)*ABS(M266-x4_)*10^3)*(COS(ABS(M266-x4_)*10^3/Lelastisch)+SIN(ABS(M266-x4_)*10^3/Lelastisch))+(Achslast_3*10^3/2)/(8*(1/Lelastisch)^3)*EXP(-(1/Lelastisch)*ABS(M266-x_3)*10^3)*(COS(ABS(M266-x_3)*10^3/Lelastisch)+SIN(ABS(M266-x_3)*10^3/Lelastisch))+(Achslast_2*10^3/2)/(8*(1/Lelastisch)^3)*EXP(-(1/Lelastisch)*ABS(M266-x_2)*10^3)*(COS(ABS(M266-x_2)*10^3/Lelastisch)+SIN(ABS(M266-x_2)*10^3/Lelastisch))+(Achslast_1*10^3/2)/(8*(1/Lelastisch)^3)*EXP(-(1/Lelastisch)*ABS(M266-x_1)*10^3)*(COS(ABS(M266-x_1)*10^3/Lelastisch)+SIN(ABS(M266-x_1)*10^3/Lelastisch)))</f>
        <v>#REF!</v>
      </c>
      <c r="O266" s="139" t="e">
        <f t="shared" ref="O266:O330" si="44">((Achslast_4*10^3/2)/(4*(1/Lelastisch))*EXP(-(1/Lelastisch)*ABS(M266-x4_)*10^3)*(COS(ABS(M266-x4_)*10^3/Lelastisch)-SIN(ABS(M266-x4_)*10^3/Lelastisch))+(Achslast_3*10^3/2)/(4*(1/Lelastisch))*EXP(-(1/Lelastisch)*ABS(M266-x_3)*10^3)*(COS(ABS(M266-x_3)*10^3/Lelastisch)-SIN(ABS(M266-x_3)*10^3/Lelastisch))+(Achslast_2*10^3/2)/(4*(1/Lelastisch))*EXP(-(1/Lelastisch)*ABS(M266-x_2)*10^3)*(COS(ABS(M266-x_2)*10^3/Lelastisch)-SIN(ABS(M266-x_2)*10^3/Lelastisch))+(Achslast_1*10^3/2)/(4*(1/Lelastisch))*EXP(-(1/Lelastisch)*ABS(M266-x_1)*10^3)*(COS(ABS(M266-x_1)*10^3/Lelastisch)-SIN(ABS(M266-x_1)*10^3/Lelastisch)))*10^-6</f>
        <v>#REF!</v>
      </c>
      <c r="P266" s="139" t="e">
        <f t="shared" ref="P266:P310" si="45">((Achslast_4*10^3*kd*kq/2)/(4*(1/Lelastisch))*EXP(-(1/Lelastisch)*ABS(M266-x4_)*10^3)*(COS(ABS(M266-x4_)*10^3/Lelastisch)-SIN(ABS(M266-x4_)*10^3/Lelastisch))+(Achslast_3*10^3*kd*kq/2)/(4*(1/Lelastisch))*EXP(-(1/Lelastisch)*ABS(M266-x_3)*10^3)*(COS(ABS(M266-x_3)*10^3/Lelastisch)-SIN(ABS(M266-x_3)*10^3/Lelastisch))+(Achslast_2*10^3*kd*kq/2)/(4*(1/Lelastisch))*EXP(-(1/Lelastisch)*ABS(M266-x_2)*10^3)*(COS(ABS(M266-x_2)*10^3/Lelastisch)-SIN(ABS(M266-x_2)*10^3/Lelastisch))+(Achslast_1*10^3*kd*kq/2)/(4*(1/Lelastisch))*EXP(-(1/Lelastisch)*ABS(M266-x_1)*10^3)*(COS(ABS(M266-x_1)*10^3/Lelastisch)-SIN(ABS(M266-x_1)*10^3/Lelastisch)))*10^-6</f>
        <v>#REF!</v>
      </c>
      <c r="Q266" s="139" t="e">
        <f t="shared" ref="Q266:Q310" si="46">P266/WSchiene*10^6</f>
        <v>#REF!</v>
      </c>
      <c r="R266" s="140" t="e">
        <f t="shared" ref="R266:R330" si="47">(O266/WSchiene)*10^6*(1+3*Faktor_Oberbauzustand*fPersonenzüge)</f>
        <v>#REF!</v>
      </c>
      <c r="S266" s="140" t="e">
        <f t="shared" ref="S266:S330" si="48">(O266/WSchiene)*10^6*(1+3*Faktor_Oberbauzustand*fGüterzüge)</f>
        <v>#REF!</v>
      </c>
      <c r="T266" s="40" t="e">
        <f t="shared" si="41"/>
        <v>#REF!</v>
      </c>
      <c r="U266" s="39" t="e">
        <f t="shared" si="42"/>
        <v>#REF!</v>
      </c>
      <c r="V266" s="139" t="e">
        <f t="shared" ref="V266:V329" si="49">MAX($U$8:$U$330)</f>
        <v>#REF!</v>
      </c>
    </row>
    <row r="267" spans="13:22">
      <c r="M267" s="38">
        <f t="shared" ref="M267:M330" si="50">MIN(M266+Dx,LSchiene)</f>
        <v>25.700000000000095</v>
      </c>
      <c r="N267" s="139" t="e">
        <f t="shared" si="43"/>
        <v>#REF!</v>
      </c>
      <c r="O267" s="139" t="e">
        <f t="shared" si="44"/>
        <v>#REF!</v>
      </c>
      <c r="P267" s="139" t="e">
        <f t="shared" si="45"/>
        <v>#REF!</v>
      </c>
      <c r="Q267" s="139" t="e">
        <f t="shared" si="46"/>
        <v>#REF!</v>
      </c>
      <c r="R267" s="140" t="e">
        <f t="shared" si="47"/>
        <v>#REF!</v>
      </c>
      <c r="S267" s="140" t="e">
        <f t="shared" si="48"/>
        <v>#REF!</v>
      </c>
      <c r="T267" s="40" t="e">
        <f t="shared" si="41"/>
        <v>#REF!</v>
      </c>
      <c r="U267" s="39" t="e">
        <f t="shared" si="42"/>
        <v>#REF!</v>
      </c>
      <c r="V267" s="139" t="e">
        <f t="shared" si="49"/>
        <v>#REF!</v>
      </c>
    </row>
    <row r="268" spans="13:22">
      <c r="M268" s="38">
        <f t="shared" si="50"/>
        <v>25.800000000000097</v>
      </c>
      <c r="N268" s="139" t="e">
        <f t="shared" si="43"/>
        <v>#REF!</v>
      </c>
      <c r="O268" s="139" t="e">
        <f t="shared" si="44"/>
        <v>#REF!</v>
      </c>
      <c r="P268" s="139" t="e">
        <f t="shared" si="45"/>
        <v>#REF!</v>
      </c>
      <c r="Q268" s="139" t="e">
        <f t="shared" si="46"/>
        <v>#REF!</v>
      </c>
      <c r="R268" s="140" t="e">
        <f t="shared" si="47"/>
        <v>#REF!</v>
      </c>
      <c r="S268" s="140" t="e">
        <f t="shared" si="48"/>
        <v>#REF!</v>
      </c>
      <c r="T268" s="40" t="e">
        <f t="shared" si="41"/>
        <v>#REF!</v>
      </c>
      <c r="U268" s="39" t="e">
        <f t="shared" si="42"/>
        <v>#REF!</v>
      </c>
      <c r="V268" s="139" t="e">
        <f t="shared" si="49"/>
        <v>#REF!</v>
      </c>
    </row>
    <row r="269" spans="13:22">
      <c r="M269" s="38">
        <f t="shared" si="50"/>
        <v>25.900000000000098</v>
      </c>
      <c r="N269" s="139" t="e">
        <f t="shared" si="43"/>
        <v>#REF!</v>
      </c>
      <c r="O269" s="139" t="e">
        <f t="shared" si="44"/>
        <v>#REF!</v>
      </c>
      <c r="P269" s="139" t="e">
        <f t="shared" si="45"/>
        <v>#REF!</v>
      </c>
      <c r="Q269" s="139" t="e">
        <f t="shared" si="46"/>
        <v>#REF!</v>
      </c>
      <c r="R269" s="140" t="e">
        <f t="shared" si="47"/>
        <v>#REF!</v>
      </c>
      <c r="S269" s="140" t="e">
        <f t="shared" si="48"/>
        <v>#REF!</v>
      </c>
      <c r="T269" s="40" t="e">
        <f t="shared" si="41"/>
        <v>#REF!</v>
      </c>
      <c r="U269" s="39" t="e">
        <f t="shared" si="42"/>
        <v>#REF!</v>
      </c>
      <c r="V269" s="139" t="e">
        <f t="shared" si="49"/>
        <v>#REF!</v>
      </c>
    </row>
    <row r="270" spans="13:22">
      <c r="M270" s="38">
        <f t="shared" si="50"/>
        <v>26.000000000000099</v>
      </c>
      <c r="N270" s="139" t="e">
        <f t="shared" si="43"/>
        <v>#REF!</v>
      </c>
      <c r="O270" s="139" t="e">
        <f t="shared" si="44"/>
        <v>#REF!</v>
      </c>
      <c r="P270" s="139" t="e">
        <f t="shared" si="45"/>
        <v>#REF!</v>
      </c>
      <c r="Q270" s="139" t="e">
        <f t="shared" si="46"/>
        <v>#REF!</v>
      </c>
      <c r="R270" s="140" t="e">
        <f t="shared" si="47"/>
        <v>#REF!</v>
      </c>
      <c r="S270" s="140" t="e">
        <f t="shared" si="48"/>
        <v>#REF!</v>
      </c>
      <c r="T270" s="40" t="e">
        <f t="shared" si="41"/>
        <v>#REF!</v>
      </c>
      <c r="U270" s="39" t="e">
        <f t="shared" si="42"/>
        <v>#REF!</v>
      </c>
      <c r="V270" s="139" t="e">
        <f t="shared" si="49"/>
        <v>#REF!</v>
      </c>
    </row>
    <row r="271" spans="13:22">
      <c r="M271" s="38">
        <f t="shared" si="50"/>
        <v>26.100000000000101</v>
      </c>
      <c r="N271" s="139" t="e">
        <f t="shared" si="43"/>
        <v>#REF!</v>
      </c>
      <c r="O271" s="139" t="e">
        <f t="shared" si="44"/>
        <v>#REF!</v>
      </c>
      <c r="P271" s="139" t="e">
        <f t="shared" si="45"/>
        <v>#REF!</v>
      </c>
      <c r="Q271" s="139" t="e">
        <f t="shared" si="46"/>
        <v>#REF!</v>
      </c>
      <c r="R271" s="140" t="e">
        <f t="shared" si="47"/>
        <v>#REF!</v>
      </c>
      <c r="S271" s="140" t="e">
        <f t="shared" si="48"/>
        <v>#REF!</v>
      </c>
      <c r="T271" s="40" t="e">
        <f t="shared" si="41"/>
        <v>#REF!</v>
      </c>
      <c r="U271" s="39" t="e">
        <f t="shared" si="42"/>
        <v>#REF!</v>
      </c>
      <c r="V271" s="139" t="e">
        <f t="shared" si="49"/>
        <v>#REF!</v>
      </c>
    </row>
    <row r="272" spans="13:22">
      <c r="M272" s="38">
        <f t="shared" si="50"/>
        <v>26.200000000000102</v>
      </c>
      <c r="N272" s="139" t="e">
        <f t="shared" si="43"/>
        <v>#REF!</v>
      </c>
      <c r="O272" s="139" t="e">
        <f t="shared" si="44"/>
        <v>#REF!</v>
      </c>
      <c r="P272" s="139" t="e">
        <f t="shared" si="45"/>
        <v>#REF!</v>
      </c>
      <c r="Q272" s="139" t="e">
        <f t="shared" si="46"/>
        <v>#REF!</v>
      </c>
      <c r="R272" s="140" t="e">
        <f t="shared" si="47"/>
        <v>#REF!</v>
      </c>
      <c r="S272" s="140" t="e">
        <f t="shared" si="48"/>
        <v>#REF!</v>
      </c>
      <c r="T272" s="40" t="e">
        <f t="shared" si="41"/>
        <v>#REF!</v>
      </c>
      <c r="U272" s="39" t="e">
        <f t="shared" si="42"/>
        <v>#REF!</v>
      </c>
      <c r="V272" s="139" t="e">
        <f t="shared" si="49"/>
        <v>#REF!</v>
      </c>
    </row>
    <row r="273" spans="13:22">
      <c r="M273" s="38">
        <f t="shared" si="50"/>
        <v>26.300000000000104</v>
      </c>
      <c r="N273" s="139" t="e">
        <f t="shared" si="43"/>
        <v>#REF!</v>
      </c>
      <c r="O273" s="139" t="e">
        <f t="shared" si="44"/>
        <v>#REF!</v>
      </c>
      <c r="P273" s="139" t="e">
        <f t="shared" si="45"/>
        <v>#REF!</v>
      </c>
      <c r="Q273" s="139" t="e">
        <f t="shared" si="46"/>
        <v>#REF!</v>
      </c>
      <c r="R273" s="140" t="e">
        <f t="shared" si="47"/>
        <v>#REF!</v>
      </c>
      <c r="S273" s="140" t="e">
        <f t="shared" si="48"/>
        <v>#REF!</v>
      </c>
      <c r="T273" s="40" t="e">
        <f t="shared" si="41"/>
        <v>#REF!</v>
      </c>
      <c r="U273" s="39" t="e">
        <f t="shared" si="42"/>
        <v>#REF!</v>
      </c>
      <c r="V273" s="139" t="e">
        <f t="shared" si="49"/>
        <v>#REF!</v>
      </c>
    </row>
    <row r="274" spans="13:22">
      <c r="M274" s="38">
        <f t="shared" si="50"/>
        <v>26.400000000000105</v>
      </c>
      <c r="N274" s="139" t="e">
        <f t="shared" si="43"/>
        <v>#REF!</v>
      </c>
      <c r="O274" s="139" t="e">
        <f t="shared" si="44"/>
        <v>#REF!</v>
      </c>
      <c r="P274" s="139" t="e">
        <f t="shared" si="45"/>
        <v>#REF!</v>
      </c>
      <c r="Q274" s="139" t="e">
        <f t="shared" si="46"/>
        <v>#REF!</v>
      </c>
      <c r="R274" s="140" t="e">
        <f t="shared" si="47"/>
        <v>#REF!</v>
      </c>
      <c r="S274" s="140" t="e">
        <f t="shared" si="48"/>
        <v>#REF!</v>
      </c>
      <c r="T274" s="40" t="e">
        <f t="shared" ref="T274:T330" si="51">IF(N274=MAX($N$8:$N$330),N274,#N/A)</f>
        <v>#REF!</v>
      </c>
      <c r="U274" s="39" t="e">
        <f t="shared" si="42"/>
        <v>#REF!</v>
      </c>
      <c r="V274" s="139" t="e">
        <f t="shared" si="49"/>
        <v>#REF!</v>
      </c>
    </row>
    <row r="275" spans="13:22">
      <c r="M275" s="38">
        <f t="shared" si="50"/>
        <v>26.500000000000107</v>
      </c>
      <c r="N275" s="139" t="e">
        <f t="shared" si="43"/>
        <v>#REF!</v>
      </c>
      <c r="O275" s="139" t="e">
        <f t="shared" si="44"/>
        <v>#REF!</v>
      </c>
      <c r="P275" s="139" t="e">
        <f t="shared" si="45"/>
        <v>#REF!</v>
      </c>
      <c r="Q275" s="139" t="e">
        <f t="shared" si="46"/>
        <v>#REF!</v>
      </c>
      <c r="R275" s="140" t="e">
        <f t="shared" si="47"/>
        <v>#REF!</v>
      </c>
      <c r="S275" s="140" t="e">
        <f t="shared" si="48"/>
        <v>#REF!</v>
      </c>
      <c r="T275" s="40" t="e">
        <f t="shared" si="51"/>
        <v>#REF!</v>
      </c>
      <c r="U275" s="39" t="e">
        <f t="shared" si="42"/>
        <v>#REF!</v>
      </c>
      <c r="V275" s="139" t="e">
        <f t="shared" si="49"/>
        <v>#REF!</v>
      </c>
    </row>
    <row r="276" spans="13:22">
      <c r="M276" s="38">
        <f t="shared" si="50"/>
        <v>26.600000000000108</v>
      </c>
      <c r="N276" s="139" t="e">
        <f t="shared" si="43"/>
        <v>#REF!</v>
      </c>
      <c r="O276" s="139" t="e">
        <f t="shared" si="44"/>
        <v>#REF!</v>
      </c>
      <c r="P276" s="139" t="e">
        <f t="shared" si="45"/>
        <v>#REF!</v>
      </c>
      <c r="Q276" s="139" t="e">
        <f t="shared" si="46"/>
        <v>#REF!</v>
      </c>
      <c r="R276" s="140" t="e">
        <f t="shared" si="47"/>
        <v>#REF!</v>
      </c>
      <c r="S276" s="140" t="e">
        <f t="shared" si="48"/>
        <v>#REF!</v>
      </c>
      <c r="T276" s="40" t="e">
        <f t="shared" si="51"/>
        <v>#REF!</v>
      </c>
      <c r="U276" s="39" t="e">
        <f t="shared" si="42"/>
        <v>#REF!</v>
      </c>
      <c r="V276" s="139" t="e">
        <f t="shared" si="49"/>
        <v>#REF!</v>
      </c>
    </row>
    <row r="277" spans="13:22">
      <c r="M277" s="38">
        <f t="shared" si="50"/>
        <v>26.700000000000109</v>
      </c>
      <c r="N277" s="139" t="e">
        <f t="shared" si="43"/>
        <v>#REF!</v>
      </c>
      <c r="O277" s="139" t="e">
        <f t="shared" si="44"/>
        <v>#REF!</v>
      </c>
      <c r="P277" s="139" t="e">
        <f t="shared" si="45"/>
        <v>#REF!</v>
      </c>
      <c r="Q277" s="139" t="e">
        <f t="shared" si="46"/>
        <v>#REF!</v>
      </c>
      <c r="R277" s="140" t="e">
        <f t="shared" si="47"/>
        <v>#REF!</v>
      </c>
      <c r="S277" s="140" t="e">
        <f t="shared" si="48"/>
        <v>#REF!</v>
      </c>
      <c r="T277" s="40" t="e">
        <f t="shared" si="51"/>
        <v>#REF!</v>
      </c>
      <c r="U277" s="39" t="e">
        <f t="shared" si="42"/>
        <v>#REF!</v>
      </c>
      <c r="V277" s="139" t="e">
        <f t="shared" si="49"/>
        <v>#REF!</v>
      </c>
    </row>
    <row r="278" spans="13:22">
      <c r="M278" s="38">
        <f t="shared" si="50"/>
        <v>26.800000000000111</v>
      </c>
      <c r="N278" s="139" t="e">
        <f t="shared" si="43"/>
        <v>#REF!</v>
      </c>
      <c r="O278" s="139" t="e">
        <f t="shared" si="44"/>
        <v>#REF!</v>
      </c>
      <c r="P278" s="139" t="e">
        <f t="shared" si="45"/>
        <v>#REF!</v>
      </c>
      <c r="Q278" s="139" t="e">
        <f t="shared" si="46"/>
        <v>#REF!</v>
      </c>
      <c r="R278" s="140" t="e">
        <f t="shared" si="47"/>
        <v>#REF!</v>
      </c>
      <c r="S278" s="140" t="e">
        <f t="shared" si="48"/>
        <v>#REF!</v>
      </c>
      <c r="T278" s="40" t="e">
        <f t="shared" si="51"/>
        <v>#REF!</v>
      </c>
      <c r="U278" s="39" t="e">
        <f t="shared" si="42"/>
        <v>#REF!</v>
      </c>
      <c r="V278" s="139" t="e">
        <f t="shared" si="49"/>
        <v>#REF!</v>
      </c>
    </row>
    <row r="279" spans="13:22">
      <c r="M279" s="38">
        <f t="shared" si="50"/>
        <v>26.900000000000112</v>
      </c>
      <c r="N279" s="139" t="e">
        <f t="shared" si="43"/>
        <v>#REF!</v>
      </c>
      <c r="O279" s="139" t="e">
        <f t="shared" si="44"/>
        <v>#REF!</v>
      </c>
      <c r="P279" s="139" t="e">
        <f t="shared" si="45"/>
        <v>#REF!</v>
      </c>
      <c r="Q279" s="139" t="e">
        <f t="shared" si="46"/>
        <v>#REF!</v>
      </c>
      <c r="R279" s="140" t="e">
        <f t="shared" si="47"/>
        <v>#REF!</v>
      </c>
      <c r="S279" s="140" t="e">
        <f t="shared" si="48"/>
        <v>#REF!</v>
      </c>
      <c r="T279" s="40" t="e">
        <f t="shared" si="51"/>
        <v>#REF!</v>
      </c>
      <c r="U279" s="39" t="e">
        <f t="shared" si="42"/>
        <v>#REF!</v>
      </c>
      <c r="V279" s="139" t="e">
        <f t="shared" si="49"/>
        <v>#REF!</v>
      </c>
    </row>
    <row r="280" spans="13:22">
      <c r="M280" s="38">
        <f t="shared" si="50"/>
        <v>27.000000000000114</v>
      </c>
      <c r="N280" s="139" t="e">
        <f t="shared" si="43"/>
        <v>#REF!</v>
      </c>
      <c r="O280" s="139" t="e">
        <f t="shared" si="44"/>
        <v>#REF!</v>
      </c>
      <c r="P280" s="139" t="e">
        <f t="shared" si="45"/>
        <v>#REF!</v>
      </c>
      <c r="Q280" s="139" t="e">
        <f t="shared" si="46"/>
        <v>#REF!</v>
      </c>
      <c r="R280" s="140" t="e">
        <f t="shared" si="47"/>
        <v>#REF!</v>
      </c>
      <c r="S280" s="140" t="e">
        <f t="shared" si="48"/>
        <v>#REF!</v>
      </c>
      <c r="T280" s="40" t="e">
        <f t="shared" si="51"/>
        <v>#REF!</v>
      </c>
      <c r="U280" s="39" t="e">
        <f t="shared" si="42"/>
        <v>#REF!</v>
      </c>
      <c r="V280" s="139" t="e">
        <f t="shared" si="49"/>
        <v>#REF!</v>
      </c>
    </row>
    <row r="281" spans="13:22">
      <c r="M281" s="38">
        <f t="shared" si="50"/>
        <v>27.100000000000115</v>
      </c>
      <c r="N281" s="139" t="e">
        <f t="shared" si="43"/>
        <v>#REF!</v>
      </c>
      <c r="O281" s="139" t="e">
        <f t="shared" si="44"/>
        <v>#REF!</v>
      </c>
      <c r="P281" s="139" t="e">
        <f t="shared" si="45"/>
        <v>#REF!</v>
      </c>
      <c r="Q281" s="139" t="e">
        <f t="shared" si="46"/>
        <v>#REF!</v>
      </c>
      <c r="R281" s="140" t="e">
        <f t="shared" si="47"/>
        <v>#REF!</v>
      </c>
      <c r="S281" s="140" t="e">
        <f t="shared" si="48"/>
        <v>#REF!</v>
      </c>
      <c r="T281" s="40" t="e">
        <f t="shared" si="51"/>
        <v>#REF!</v>
      </c>
      <c r="U281" s="39" t="e">
        <f t="shared" si="42"/>
        <v>#REF!</v>
      </c>
      <c r="V281" s="139" t="e">
        <f t="shared" si="49"/>
        <v>#REF!</v>
      </c>
    </row>
    <row r="282" spans="13:22">
      <c r="M282" s="38">
        <f t="shared" si="50"/>
        <v>27.200000000000117</v>
      </c>
      <c r="N282" s="139" t="e">
        <f t="shared" si="43"/>
        <v>#REF!</v>
      </c>
      <c r="O282" s="139" t="e">
        <f t="shared" si="44"/>
        <v>#REF!</v>
      </c>
      <c r="P282" s="139" t="e">
        <f t="shared" si="45"/>
        <v>#REF!</v>
      </c>
      <c r="Q282" s="139" t="e">
        <f t="shared" si="46"/>
        <v>#REF!</v>
      </c>
      <c r="R282" s="140" t="e">
        <f t="shared" si="47"/>
        <v>#REF!</v>
      </c>
      <c r="S282" s="140" t="e">
        <f t="shared" si="48"/>
        <v>#REF!</v>
      </c>
      <c r="T282" s="40" t="e">
        <f t="shared" si="51"/>
        <v>#REF!</v>
      </c>
      <c r="U282" s="39" t="e">
        <f t="shared" si="42"/>
        <v>#REF!</v>
      </c>
      <c r="V282" s="139" t="e">
        <f t="shared" si="49"/>
        <v>#REF!</v>
      </c>
    </row>
    <row r="283" spans="13:22">
      <c r="M283" s="38">
        <f t="shared" si="50"/>
        <v>27.300000000000118</v>
      </c>
      <c r="N283" s="139" t="e">
        <f t="shared" si="43"/>
        <v>#REF!</v>
      </c>
      <c r="O283" s="139" t="e">
        <f t="shared" si="44"/>
        <v>#REF!</v>
      </c>
      <c r="P283" s="139" t="e">
        <f t="shared" si="45"/>
        <v>#REF!</v>
      </c>
      <c r="Q283" s="139" t="e">
        <f t="shared" si="46"/>
        <v>#REF!</v>
      </c>
      <c r="R283" s="140" t="e">
        <f t="shared" si="47"/>
        <v>#REF!</v>
      </c>
      <c r="S283" s="140" t="e">
        <f t="shared" si="48"/>
        <v>#REF!</v>
      </c>
      <c r="T283" s="40" t="e">
        <f t="shared" si="51"/>
        <v>#REF!</v>
      </c>
      <c r="U283" s="39" t="e">
        <f t="shared" si="42"/>
        <v>#REF!</v>
      </c>
      <c r="V283" s="139" t="e">
        <f t="shared" si="49"/>
        <v>#REF!</v>
      </c>
    </row>
    <row r="284" spans="13:22">
      <c r="M284" s="38">
        <f t="shared" si="50"/>
        <v>27.400000000000119</v>
      </c>
      <c r="N284" s="139" t="e">
        <f t="shared" si="43"/>
        <v>#REF!</v>
      </c>
      <c r="O284" s="139" t="e">
        <f t="shared" si="44"/>
        <v>#REF!</v>
      </c>
      <c r="P284" s="139" t="e">
        <f t="shared" si="45"/>
        <v>#REF!</v>
      </c>
      <c r="Q284" s="139" t="e">
        <f t="shared" si="46"/>
        <v>#REF!</v>
      </c>
      <c r="R284" s="140" t="e">
        <f t="shared" si="47"/>
        <v>#REF!</v>
      </c>
      <c r="S284" s="140" t="e">
        <f t="shared" si="48"/>
        <v>#REF!</v>
      </c>
      <c r="T284" s="40" t="e">
        <f t="shared" si="51"/>
        <v>#REF!</v>
      </c>
      <c r="U284" s="39" t="e">
        <f t="shared" si="42"/>
        <v>#REF!</v>
      </c>
      <c r="V284" s="139" t="e">
        <f t="shared" si="49"/>
        <v>#REF!</v>
      </c>
    </row>
    <row r="285" spans="13:22">
      <c r="M285" s="38">
        <f t="shared" si="50"/>
        <v>27.500000000000121</v>
      </c>
      <c r="N285" s="139" t="e">
        <f t="shared" si="43"/>
        <v>#REF!</v>
      </c>
      <c r="O285" s="139" t="e">
        <f t="shared" si="44"/>
        <v>#REF!</v>
      </c>
      <c r="P285" s="139" t="e">
        <f t="shared" si="45"/>
        <v>#REF!</v>
      </c>
      <c r="Q285" s="139" t="e">
        <f t="shared" si="46"/>
        <v>#REF!</v>
      </c>
      <c r="R285" s="140" t="e">
        <f t="shared" si="47"/>
        <v>#REF!</v>
      </c>
      <c r="S285" s="140" t="e">
        <f t="shared" si="48"/>
        <v>#REF!</v>
      </c>
      <c r="T285" s="40" t="e">
        <f t="shared" si="51"/>
        <v>#REF!</v>
      </c>
      <c r="U285" s="39" t="e">
        <f t="shared" si="42"/>
        <v>#REF!</v>
      </c>
      <c r="V285" s="139" t="e">
        <f t="shared" si="49"/>
        <v>#REF!</v>
      </c>
    </row>
    <row r="286" spans="13:22">
      <c r="M286" s="38">
        <f t="shared" si="50"/>
        <v>27.600000000000122</v>
      </c>
      <c r="N286" s="139" t="e">
        <f t="shared" si="43"/>
        <v>#REF!</v>
      </c>
      <c r="O286" s="139" t="e">
        <f t="shared" si="44"/>
        <v>#REF!</v>
      </c>
      <c r="P286" s="139" t="e">
        <f t="shared" si="45"/>
        <v>#REF!</v>
      </c>
      <c r="Q286" s="139" t="e">
        <f t="shared" si="46"/>
        <v>#REF!</v>
      </c>
      <c r="R286" s="140" t="e">
        <f t="shared" si="47"/>
        <v>#REF!</v>
      </c>
      <c r="S286" s="140" t="e">
        <f t="shared" si="48"/>
        <v>#REF!</v>
      </c>
      <c r="T286" s="40" t="e">
        <f t="shared" si="51"/>
        <v>#REF!</v>
      </c>
      <c r="U286" s="39" t="e">
        <f t="shared" si="42"/>
        <v>#REF!</v>
      </c>
      <c r="V286" s="139" t="e">
        <f t="shared" si="49"/>
        <v>#REF!</v>
      </c>
    </row>
    <row r="287" spans="13:22">
      <c r="M287" s="38">
        <f t="shared" si="50"/>
        <v>27.700000000000124</v>
      </c>
      <c r="N287" s="139" t="e">
        <f t="shared" si="43"/>
        <v>#REF!</v>
      </c>
      <c r="O287" s="139" t="e">
        <f t="shared" si="44"/>
        <v>#REF!</v>
      </c>
      <c r="P287" s="139" t="e">
        <f t="shared" si="45"/>
        <v>#REF!</v>
      </c>
      <c r="Q287" s="139" t="e">
        <f t="shared" si="46"/>
        <v>#REF!</v>
      </c>
      <c r="R287" s="140" t="e">
        <f t="shared" si="47"/>
        <v>#REF!</v>
      </c>
      <c r="S287" s="140" t="e">
        <f t="shared" si="48"/>
        <v>#REF!</v>
      </c>
      <c r="T287" s="40" t="e">
        <f t="shared" si="51"/>
        <v>#REF!</v>
      </c>
      <c r="U287" s="39" t="e">
        <f t="shared" si="42"/>
        <v>#REF!</v>
      </c>
      <c r="V287" s="139" t="e">
        <f t="shared" si="49"/>
        <v>#REF!</v>
      </c>
    </row>
    <row r="288" spans="13:22">
      <c r="M288" s="38">
        <f t="shared" si="50"/>
        <v>27.800000000000125</v>
      </c>
      <c r="N288" s="139" t="e">
        <f t="shared" si="43"/>
        <v>#REF!</v>
      </c>
      <c r="O288" s="139" t="e">
        <f t="shared" si="44"/>
        <v>#REF!</v>
      </c>
      <c r="P288" s="139" t="e">
        <f t="shared" si="45"/>
        <v>#REF!</v>
      </c>
      <c r="Q288" s="139" t="e">
        <f t="shared" si="46"/>
        <v>#REF!</v>
      </c>
      <c r="R288" s="140" t="e">
        <f t="shared" si="47"/>
        <v>#REF!</v>
      </c>
      <c r="S288" s="140" t="e">
        <f t="shared" si="48"/>
        <v>#REF!</v>
      </c>
      <c r="T288" s="40" t="e">
        <f t="shared" si="51"/>
        <v>#REF!</v>
      </c>
      <c r="U288" s="39" t="e">
        <f t="shared" si="42"/>
        <v>#REF!</v>
      </c>
      <c r="V288" s="139" t="e">
        <f t="shared" si="49"/>
        <v>#REF!</v>
      </c>
    </row>
    <row r="289" spans="13:22">
      <c r="M289" s="38">
        <f t="shared" si="50"/>
        <v>27.900000000000126</v>
      </c>
      <c r="N289" s="139" t="e">
        <f t="shared" si="43"/>
        <v>#REF!</v>
      </c>
      <c r="O289" s="139" t="e">
        <f t="shared" si="44"/>
        <v>#REF!</v>
      </c>
      <c r="P289" s="139" t="e">
        <f t="shared" si="45"/>
        <v>#REF!</v>
      </c>
      <c r="Q289" s="139" t="e">
        <f t="shared" si="46"/>
        <v>#REF!</v>
      </c>
      <c r="R289" s="140" t="e">
        <f t="shared" si="47"/>
        <v>#REF!</v>
      </c>
      <c r="S289" s="140" t="e">
        <f t="shared" si="48"/>
        <v>#REF!</v>
      </c>
      <c r="T289" s="40" t="e">
        <f t="shared" si="51"/>
        <v>#REF!</v>
      </c>
      <c r="U289" s="39" t="e">
        <f t="shared" si="42"/>
        <v>#REF!</v>
      </c>
      <c r="V289" s="139" t="e">
        <f t="shared" si="49"/>
        <v>#REF!</v>
      </c>
    </row>
    <row r="290" spans="13:22">
      <c r="M290" s="38">
        <f t="shared" si="50"/>
        <v>28.000000000000128</v>
      </c>
      <c r="N290" s="139" t="e">
        <f t="shared" si="43"/>
        <v>#REF!</v>
      </c>
      <c r="O290" s="139" t="e">
        <f t="shared" si="44"/>
        <v>#REF!</v>
      </c>
      <c r="P290" s="139" t="e">
        <f t="shared" si="45"/>
        <v>#REF!</v>
      </c>
      <c r="Q290" s="139" t="e">
        <f t="shared" si="46"/>
        <v>#REF!</v>
      </c>
      <c r="R290" s="140" t="e">
        <f t="shared" si="47"/>
        <v>#REF!</v>
      </c>
      <c r="S290" s="140" t="e">
        <f t="shared" si="48"/>
        <v>#REF!</v>
      </c>
      <c r="T290" s="40" t="e">
        <f t="shared" si="51"/>
        <v>#REF!</v>
      </c>
      <c r="U290" s="39" t="e">
        <f t="shared" si="42"/>
        <v>#REF!</v>
      </c>
      <c r="V290" s="139" t="e">
        <f t="shared" si="49"/>
        <v>#REF!</v>
      </c>
    </row>
    <row r="291" spans="13:22">
      <c r="M291" s="38">
        <f t="shared" si="50"/>
        <v>28.100000000000129</v>
      </c>
      <c r="N291" s="139" t="e">
        <f t="shared" si="43"/>
        <v>#REF!</v>
      </c>
      <c r="O291" s="139" t="e">
        <f t="shared" si="44"/>
        <v>#REF!</v>
      </c>
      <c r="P291" s="139" t="e">
        <f t="shared" si="45"/>
        <v>#REF!</v>
      </c>
      <c r="Q291" s="139" t="e">
        <f t="shared" si="46"/>
        <v>#REF!</v>
      </c>
      <c r="R291" s="140" t="e">
        <f t="shared" si="47"/>
        <v>#REF!</v>
      </c>
      <c r="S291" s="140" t="e">
        <f t="shared" si="48"/>
        <v>#REF!</v>
      </c>
      <c r="T291" s="40" t="e">
        <f t="shared" si="51"/>
        <v>#REF!</v>
      </c>
      <c r="U291" s="39" t="e">
        <f t="shared" si="42"/>
        <v>#REF!</v>
      </c>
      <c r="V291" s="139" t="e">
        <f t="shared" si="49"/>
        <v>#REF!</v>
      </c>
    </row>
    <row r="292" spans="13:22">
      <c r="M292" s="38">
        <f t="shared" si="50"/>
        <v>28.200000000000131</v>
      </c>
      <c r="N292" s="139" t="e">
        <f t="shared" si="43"/>
        <v>#REF!</v>
      </c>
      <c r="O292" s="139" t="e">
        <f t="shared" si="44"/>
        <v>#REF!</v>
      </c>
      <c r="P292" s="139" t="e">
        <f t="shared" si="45"/>
        <v>#REF!</v>
      </c>
      <c r="Q292" s="139" t="e">
        <f t="shared" si="46"/>
        <v>#REF!</v>
      </c>
      <c r="R292" s="140" t="e">
        <f t="shared" si="47"/>
        <v>#REF!</v>
      </c>
      <c r="S292" s="140" t="e">
        <f t="shared" si="48"/>
        <v>#REF!</v>
      </c>
      <c r="T292" s="40" t="e">
        <f t="shared" si="51"/>
        <v>#REF!</v>
      </c>
      <c r="U292" s="39" t="e">
        <f t="shared" si="42"/>
        <v>#REF!</v>
      </c>
      <c r="V292" s="139" t="e">
        <f t="shared" si="49"/>
        <v>#REF!</v>
      </c>
    </row>
    <row r="293" spans="13:22">
      <c r="M293" s="38">
        <f t="shared" si="50"/>
        <v>28.300000000000132</v>
      </c>
      <c r="N293" s="139" t="e">
        <f t="shared" si="43"/>
        <v>#REF!</v>
      </c>
      <c r="O293" s="139" t="e">
        <f t="shared" si="44"/>
        <v>#REF!</v>
      </c>
      <c r="P293" s="139" t="e">
        <f t="shared" si="45"/>
        <v>#REF!</v>
      </c>
      <c r="Q293" s="139" t="e">
        <f t="shared" si="46"/>
        <v>#REF!</v>
      </c>
      <c r="R293" s="140" t="e">
        <f t="shared" si="47"/>
        <v>#REF!</v>
      </c>
      <c r="S293" s="140" t="e">
        <f t="shared" si="48"/>
        <v>#REF!</v>
      </c>
      <c r="T293" s="40" t="e">
        <f t="shared" si="51"/>
        <v>#REF!</v>
      </c>
      <c r="U293" s="39" t="e">
        <f t="shared" si="42"/>
        <v>#REF!</v>
      </c>
      <c r="V293" s="139" t="e">
        <f t="shared" si="49"/>
        <v>#REF!</v>
      </c>
    </row>
    <row r="294" spans="13:22">
      <c r="M294" s="38">
        <f t="shared" si="50"/>
        <v>28.400000000000134</v>
      </c>
      <c r="N294" s="139" t="e">
        <f t="shared" si="43"/>
        <v>#REF!</v>
      </c>
      <c r="O294" s="139" t="e">
        <f t="shared" si="44"/>
        <v>#REF!</v>
      </c>
      <c r="P294" s="139" t="e">
        <f t="shared" si="45"/>
        <v>#REF!</v>
      </c>
      <c r="Q294" s="139" t="e">
        <f t="shared" si="46"/>
        <v>#REF!</v>
      </c>
      <c r="R294" s="140" t="e">
        <f t="shared" si="47"/>
        <v>#REF!</v>
      </c>
      <c r="S294" s="140" t="e">
        <f t="shared" si="48"/>
        <v>#REF!</v>
      </c>
      <c r="T294" s="40" t="e">
        <f t="shared" si="51"/>
        <v>#REF!</v>
      </c>
      <c r="U294" s="39" t="e">
        <f t="shared" si="42"/>
        <v>#REF!</v>
      </c>
      <c r="V294" s="139" t="e">
        <f t="shared" si="49"/>
        <v>#REF!</v>
      </c>
    </row>
    <row r="295" spans="13:22">
      <c r="M295" s="38">
        <f t="shared" si="50"/>
        <v>28.500000000000135</v>
      </c>
      <c r="N295" s="139" t="e">
        <f t="shared" si="43"/>
        <v>#REF!</v>
      </c>
      <c r="O295" s="139" t="e">
        <f t="shared" si="44"/>
        <v>#REF!</v>
      </c>
      <c r="P295" s="139" t="e">
        <f t="shared" si="45"/>
        <v>#REF!</v>
      </c>
      <c r="Q295" s="139" t="e">
        <f t="shared" si="46"/>
        <v>#REF!</v>
      </c>
      <c r="R295" s="140" t="e">
        <f t="shared" si="47"/>
        <v>#REF!</v>
      </c>
      <c r="S295" s="140" t="e">
        <f t="shared" si="48"/>
        <v>#REF!</v>
      </c>
      <c r="T295" s="40" t="e">
        <f t="shared" si="51"/>
        <v>#REF!</v>
      </c>
      <c r="U295" s="39" t="e">
        <f t="shared" si="42"/>
        <v>#REF!</v>
      </c>
      <c r="V295" s="139" t="e">
        <f t="shared" si="49"/>
        <v>#REF!</v>
      </c>
    </row>
    <row r="296" spans="13:22">
      <c r="M296" s="38">
        <f t="shared" si="50"/>
        <v>28.600000000000136</v>
      </c>
      <c r="N296" s="139" t="e">
        <f t="shared" si="43"/>
        <v>#REF!</v>
      </c>
      <c r="O296" s="139" t="e">
        <f t="shared" si="44"/>
        <v>#REF!</v>
      </c>
      <c r="P296" s="139" t="e">
        <f t="shared" si="45"/>
        <v>#REF!</v>
      </c>
      <c r="Q296" s="139" t="e">
        <f t="shared" si="46"/>
        <v>#REF!</v>
      </c>
      <c r="R296" s="140" t="e">
        <f t="shared" si="47"/>
        <v>#REF!</v>
      </c>
      <c r="S296" s="140" t="e">
        <f t="shared" si="48"/>
        <v>#REF!</v>
      </c>
      <c r="T296" s="40" t="e">
        <f t="shared" si="51"/>
        <v>#REF!</v>
      </c>
      <c r="U296" s="39" t="e">
        <f t="shared" si="42"/>
        <v>#REF!</v>
      </c>
      <c r="V296" s="139" t="e">
        <f t="shared" si="49"/>
        <v>#REF!</v>
      </c>
    </row>
    <row r="297" spans="13:22">
      <c r="M297" s="38">
        <f t="shared" si="50"/>
        <v>28.700000000000138</v>
      </c>
      <c r="N297" s="139" t="e">
        <f t="shared" si="43"/>
        <v>#REF!</v>
      </c>
      <c r="O297" s="139" t="e">
        <f t="shared" si="44"/>
        <v>#REF!</v>
      </c>
      <c r="P297" s="139" t="e">
        <f t="shared" si="45"/>
        <v>#REF!</v>
      </c>
      <c r="Q297" s="139" t="e">
        <f t="shared" si="46"/>
        <v>#REF!</v>
      </c>
      <c r="R297" s="140" t="e">
        <f t="shared" si="47"/>
        <v>#REF!</v>
      </c>
      <c r="S297" s="140" t="e">
        <f t="shared" si="48"/>
        <v>#REF!</v>
      </c>
      <c r="T297" s="40" t="e">
        <f t="shared" si="51"/>
        <v>#REF!</v>
      </c>
      <c r="U297" s="39" t="e">
        <f t="shared" si="42"/>
        <v>#REF!</v>
      </c>
      <c r="V297" s="139" t="e">
        <f t="shared" si="49"/>
        <v>#REF!</v>
      </c>
    </row>
    <row r="298" spans="13:22">
      <c r="M298" s="38">
        <f t="shared" si="50"/>
        <v>28.800000000000139</v>
      </c>
      <c r="N298" s="139" t="e">
        <f t="shared" si="43"/>
        <v>#REF!</v>
      </c>
      <c r="O298" s="139" t="e">
        <f t="shared" si="44"/>
        <v>#REF!</v>
      </c>
      <c r="P298" s="139" t="e">
        <f t="shared" si="45"/>
        <v>#REF!</v>
      </c>
      <c r="Q298" s="139" t="e">
        <f t="shared" si="46"/>
        <v>#REF!</v>
      </c>
      <c r="R298" s="140" t="e">
        <f t="shared" si="47"/>
        <v>#REF!</v>
      </c>
      <c r="S298" s="140" t="e">
        <f t="shared" si="48"/>
        <v>#REF!</v>
      </c>
      <c r="T298" s="40" t="e">
        <f t="shared" si="51"/>
        <v>#REF!</v>
      </c>
      <c r="U298" s="39" t="e">
        <f t="shared" si="42"/>
        <v>#REF!</v>
      </c>
      <c r="V298" s="139" t="e">
        <f t="shared" si="49"/>
        <v>#REF!</v>
      </c>
    </row>
    <row r="299" spans="13:22">
      <c r="M299" s="38">
        <f t="shared" si="50"/>
        <v>28.900000000000141</v>
      </c>
      <c r="N299" s="139" t="e">
        <f t="shared" si="43"/>
        <v>#REF!</v>
      </c>
      <c r="O299" s="139" t="e">
        <f t="shared" si="44"/>
        <v>#REF!</v>
      </c>
      <c r="P299" s="139" t="e">
        <f t="shared" si="45"/>
        <v>#REF!</v>
      </c>
      <c r="Q299" s="139" t="e">
        <f t="shared" si="46"/>
        <v>#REF!</v>
      </c>
      <c r="R299" s="140" t="e">
        <f t="shared" si="47"/>
        <v>#REF!</v>
      </c>
      <c r="S299" s="140" t="e">
        <f t="shared" si="48"/>
        <v>#REF!</v>
      </c>
      <c r="T299" s="40" t="e">
        <f t="shared" si="51"/>
        <v>#REF!</v>
      </c>
      <c r="U299" s="39" t="e">
        <f t="shared" si="42"/>
        <v>#REF!</v>
      </c>
      <c r="V299" s="139" t="e">
        <f t="shared" si="49"/>
        <v>#REF!</v>
      </c>
    </row>
    <row r="300" spans="13:22">
      <c r="M300" s="38">
        <f t="shared" si="50"/>
        <v>29.000000000000142</v>
      </c>
      <c r="N300" s="139" t="e">
        <f t="shared" si="43"/>
        <v>#REF!</v>
      </c>
      <c r="O300" s="139" t="e">
        <f t="shared" si="44"/>
        <v>#REF!</v>
      </c>
      <c r="P300" s="139" t="e">
        <f t="shared" si="45"/>
        <v>#REF!</v>
      </c>
      <c r="Q300" s="139" t="e">
        <f t="shared" si="46"/>
        <v>#REF!</v>
      </c>
      <c r="R300" s="140" t="e">
        <f t="shared" si="47"/>
        <v>#REF!</v>
      </c>
      <c r="S300" s="140" t="e">
        <f t="shared" si="48"/>
        <v>#REF!</v>
      </c>
      <c r="T300" s="40" t="e">
        <f t="shared" si="51"/>
        <v>#REF!</v>
      </c>
      <c r="U300" s="39" t="e">
        <f t="shared" si="42"/>
        <v>#REF!</v>
      </c>
      <c r="V300" s="139" t="e">
        <f t="shared" si="49"/>
        <v>#REF!</v>
      </c>
    </row>
    <row r="301" spans="13:22">
      <c r="M301" s="38">
        <f t="shared" si="50"/>
        <v>29.100000000000144</v>
      </c>
      <c r="N301" s="139" t="e">
        <f t="shared" si="43"/>
        <v>#REF!</v>
      </c>
      <c r="O301" s="139" t="e">
        <f t="shared" si="44"/>
        <v>#REF!</v>
      </c>
      <c r="P301" s="139" t="e">
        <f t="shared" si="45"/>
        <v>#REF!</v>
      </c>
      <c r="Q301" s="139" t="e">
        <f t="shared" si="46"/>
        <v>#REF!</v>
      </c>
      <c r="R301" s="140" t="e">
        <f t="shared" si="47"/>
        <v>#REF!</v>
      </c>
      <c r="S301" s="140" t="e">
        <f t="shared" si="48"/>
        <v>#REF!</v>
      </c>
      <c r="T301" s="40" t="e">
        <f t="shared" si="51"/>
        <v>#REF!</v>
      </c>
      <c r="U301" s="39" t="e">
        <f t="shared" si="42"/>
        <v>#REF!</v>
      </c>
      <c r="V301" s="139" t="e">
        <f t="shared" si="49"/>
        <v>#REF!</v>
      </c>
    </row>
    <row r="302" spans="13:22">
      <c r="M302" s="38">
        <f t="shared" si="50"/>
        <v>29.200000000000145</v>
      </c>
      <c r="N302" s="139" t="e">
        <f t="shared" si="43"/>
        <v>#REF!</v>
      </c>
      <c r="O302" s="139" t="e">
        <f t="shared" si="44"/>
        <v>#REF!</v>
      </c>
      <c r="P302" s="139" t="e">
        <f t="shared" si="45"/>
        <v>#REF!</v>
      </c>
      <c r="Q302" s="139" t="e">
        <f t="shared" si="46"/>
        <v>#REF!</v>
      </c>
      <c r="R302" s="140" t="e">
        <f t="shared" si="47"/>
        <v>#REF!</v>
      </c>
      <c r="S302" s="140" t="e">
        <f t="shared" si="48"/>
        <v>#REF!</v>
      </c>
      <c r="T302" s="40" t="e">
        <f t="shared" si="51"/>
        <v>#REF!</v>
      </c>
      <c r="U302" s="39" t="e">
        <f t="shared" si="42"/>
        <v>#REF!</v>
      </c>
      <c r="V302" s="139" t="e">
        <f t="shared" si="49"/>
        <v>#REF!</v>
      </c>
    </row>
    <row r="303" spans="13:22">
      <c r="M303" s="38">
        <f t="shared" si="50"/>
        <v>29.300000000000146</v>
      </c>
      <c r="N303" s="139" t="e">
        <f t="shared" si="43"/>
        <v>#REF!</v>
      </c>
      <c r="O303" s="139" t="e">
        <f t="shared" si="44"/>
        <v>#REF!</v>
      </c>
      <c r="P303" s="139" t="e">
        <f t="shared" si="45"/>
        <v>#REF!</v>
      </c>
      <c r="Q303" s="139" t="e">
        <f t="shared" si="46"/>
        <v>#REF!</v>
      </c>
      <c r="R303" s="140" t="e">
        <f t="shared" si="47"/>
        <v>#REF!</v>
      </c>
      <c r="S303" s="140" t="e">
        <f t="shared" si="48"/>
        <v>#REF!</v>
      </c>
      <c r="T303" s="40" t="e">
        <f t="shared" si="51"/>
        <v>#REF!</v>
      </c>
      <c r="U303" s="39" t="e">
        <f t="shared" si="42"/>
        <v>#REF!</v>
      </c>
      <c r="V303" s="139" t="e">
        <f t="shared" si="49"/>
        <v>#REF!</v>
      </c>
    </row>
    <row r="304" spans="13:22">
      <c r="M304" s="38">
        <f t="shared" si="50"/>
        <v>29.400000000000148</v>
      </c>
      <c r="N304" s="139" t="e">
        <f t="shared" si="43"/>
        <v>#REF!</v>
      </c>
      <c r="O304" s="139" t="e">
        <f t="shared" si="44"/>
        <v>#REF!</v>
      </c>
      <c r="P304" s="139" t="e">
        <f t="shared" si="45"/>
        <v>#REF!</v>
      </c>
      <c r="Q304" s="139" t="e">
        <f t="shared" si="46"/>
        <v>#REF!</v>
      </c>
      <c r="R304" s="140" t="e">
        <f t="shared" si="47"/>
        <v>#REF!</v>
      </c>
      <c r="S304" s="140" t="e">
        <f t="shared" si="48"/>
        <v>#REF!</v>
      </c>
      <c r="T304" s="40" t="e">
        <f t="shared" si="51"/>
        <v>#REF!</v>
      </c>
      <c r="U304" s="39" t="e">
        <f t="shared" si="42"/>
        <v>#REF!</v>
      </c>
      <c r="V304" s="139" t="e">
        <f t="shared" si="49"/>
        <v>#REF!</v>
      </c>
    </row>
    <row r="305" spans="13:22">
      <c r="M305" s="38">
        <f t="shared" si="50"/>
        <v>29.500000000000149</v>
      </c>
      <c r="N305" s="139" t="e">
        <f t="shared" si="43"/>
        <v>#REF!</v>
      </c>
      <c r="O305" s="139" t="e">
        <f t="shared" si="44"/>
        <v>#REF!</v>
      </c>
      <c r="P305" s="139" t="e">
        <f t="shared" si="45"/>
        <v>#REF!</v>
      </c>
      <c r="Q305" s="139" t="e">
        <f t="shared" si="46"/>
        <v>#REF!</v>
      </c>
      <c r="R305" s="140" t="e">
        <f t="shared" si="47"/>
        <v>#REF!</v>
      </c>
      <c r="S305" s="140" t="e">
        <f t="shared" si="48"/>
        <v>#REF!</v>
      </c>
      <c r="T305" s="40" t="e">
        <f t="shared" si="51"/>
        <v>#REF!</v>
      </c>
      <c r="U305" s="39" t="e">
        <f t="shared" si="42"/>
        <v>#REF!</v>
      </c>
      <c r="V305" s="139" t="e">
        <f t="shared" si="49"/>
        <v>#REF!</v>
      </c>
    </row>
    <row r="306" spans="13:22">
      <c r="M306" s="38">
        <f t="shared" si="50"/>
        <v>29.600000000000151</v>
      </c>
      <c r="N306" s="139" t="e">
        <f t="shared" si="43"/>
        <v>#REF!</v>
      </c>
      <c r="O306" s="139" t="e">
        <f t="shared" si="44"/>
        <v>#REF!</v>
      </c>
      <c r="P306" s="139" t="e">
        <f t="shared" si="45"/>
        <v>#REF!</v>
      </c>
      <c r="Q306" s="139" t="e">
        <f t="shared" si="46"/>
        <v>#REF!</v>
      </c>
      <c r="R306" s="140" t="e">
        <f t="shared" si="47"/>
        <v>#REF!</v>
      </c>
      <c r="S306" s="140" t="e">
        <f t="shared" si="48"/>
        <v>#REF!</v>
      </c>
      <c r="T306" s="40" t="e">
        <f t="shared" si="51"/>
        <v>#REF!</v>
      </c>
      <c r="U306" s="39" t="e">
        <f t="shared" si="42"/>
        <v>#REF!</v>
      </c>
      <c r="V306" s="139" t="e">
        <f t="shared" si="49"/>
        <v>#REF!</v>
      </c>
    </row>
    <row r="307" spans="13:22">
      <c r="M307" s="38">
        <f t="shared" si="50"/>
        <v>29.700000000000152</v>
      </c>
      <c r="N307" s="139" t="e">
        <f t="shared" si="43"/>
        <v>#REF!</v>
      </c>
      <c r="O307" s="139" t="e">
        <f t="shared" si="44"/>
        <v>#REF!</v>
      </c>
      <c r="P307" s="139" t="e">
        <f t="shared" si="45"/>
        <v>#REF!</v>
      </c>
      <c r="Q307" s="139" t="e">
        <f t="shared" si="46"/>
        <v>#REF!</v>
      </c>
      <c r="R307" s="140" t="e">
        <f t="shared" si="47"/>
        <v>#REF!</v>
      </c>
      <c r="S307" s="140" t="e">
        <f t="shared" si="48"/>
        <v>#REF!</v>
      </c>
      <c r="T307" s="40" t="e">
        <f t="shared" si="51"/>
        <v>#REF!</v>
      </c>
      <c r="U307" s="39" t="e">
        <f t="shared" si="42"/>
        <v>#REF!</v>
      </c>
      <c r="V307" s="139" t="e">
        <f t="shared" si="49"/>
        <v>#REF!</v>
      </c>
    </row>
    <row r="308" spans="13:22">
      <c r="M308" s="38">
        <f t="shared" si="50"/>
        <v>29.800000000000153</v>
      </c>
      <c r="N308" s="139" t="e">
        <f t="shared" si="43"/>
        <v>#REF!</v>
      </c>
      <c r="O308" s="139" t="e">
        <f t="shared" si="44"/>
        <v>#REF!</v>
      </c>
      <c r="P308" s="139" t="e">
        <f t="shared" si="45"/>
        <v>#REF!</v>
      </c>
      <c r="Q308" s="139" t="e">
        <f t="shared" si="46"/>
        <v>#REF!</v>
      </c>
      <c r="R308" s="140" t="e">
        <f t="shared" si="47"/>
        <v>#REF!</v>
      </c>
      <c r="S308" s="140" t="e">
        <f t="shared" si="48"/>
        <v>#REF!</v>
      </c>
      <c r="T308" s="40" t="e">
        <f t="shared" si="51"/>
        <v>#REF!</v>
      </c>
      <c r="U308" s="39" t="e">
        <f t="shared" si="42"/>
        <v>#REF!</v>
      </c>
      <c r="V308" s="139" t="e">
        <f t="shared" si="49"/>
        <v>#REF!</v>
      </c>
    </row>
    <row r="309" spans="13:22">
      <c r="M309" s="38">
        <f t="shared" si="50"/>
        <v>29.900000000000155</v>
      </c>
      <c r="N309" s="139" t="e">
        <f t="shared" si="43"/>
        <v>#REF!</v>
      </c>
      <c r="O309" s="139" t="e">
        <f t="shared" si="44"/>
        <v>#REF!</v>
      </c>
      <c r="P309" s="139" t="e">
        <f t="shared" si="45"/>
        <v>#REF!</v>
      </c>
      <c r="Q309" s="139" t="e">
        <f t="shared" si="46"/>
        <v>#REF!</v>
      </c>
      <c r="R309" s="140" t="e">
        <f t="shared" si="47"/>
        <v>#REF!</v>
      </c>
      <c r="S309" s="140" t="e">
        <f t="shared" si="48"/>
        <v>#REF!</v>
      </c>
      <c r="T309" s="40" t="e">
        <f t="shared" si="51"/>
        <v>#REF!</v>
      </c>
      <c r="U309" s="39" t="e">
        <f t="shared" si="42"/>
        <v>#REF!</v>
      </c>
      <c r="V309" s="139" t="e">
        <f t="shared" si="49"/>
        <v>#REF!</v>
      </c>
    </row>
    <row r="310" spans="13:22">
      <c r="M310" s="38">
        <f t="shared" si="50"/>
        <v>30.000000000000156</v>
      </c>
      <c r="N310" s="139" t="e">
        <f t="shared" si="43"/>
        <v>#REF!</v>
      </c>
      <c r="O310" s="139" t="e">
        <f t="shared" si="44"/>
        <v>#REF!</v>
      </c>
      <c r="P310" s="139" t="e">
        <f t="shared" si="45"/>
        <v>#REF!</v>
      </c>
      <c r="Q310" s="139" t="e">
        <f t="shared" si="46"/>
        <v>#REF!</v>
      </c>
      <c r="R310" s="140" t="e">
        <f t="shared" si="47"/>
        <v>#REF!</v>
      </c>
      <c r="S310" s="140" t="e">
        <f t="shared" si="48"/>
        <v>#REF!</v>
      </c>
      <c r="T310" s="40" t="e">
        <f t="shared" si="51"/>
        <v>#REF!</v>
      </c>
      <c r="U310" s="39" t="e">
        <f t="shared" si="42"/>
        <v>#REF!</v>
      </c>
      <c r="V310" s="139" t="e">
        <f t="shared" si="49"/>
        <v>#REF!</v>
      </c>
    </row>
    <row r="311" spans="13:22">
      <c r="M311" s="38">
        <f t="shared" si="50"/>
        <v>30.100000000000158</v>
      </c>
      <c r="N311" s="139" t="e">
        <f t="shared" ref="N311:N312" si="52">(1/(ESchiene*ISchiene))*((Achslast_4*10^3/2)/(8*(1/Lelastisch)^3)*EXP(-(1/Lelastisch)*ABS(M311-x4_)*10^3)*(COS(ABS(M311-x4_)*10^3/Lelastisch)+SIN(ABS(M311-x4_)*10^3/Lelastisch))+(Achslast_3*10^3/2)/(8*(1/Lelastisch)^3)*EXP(-(1/Lelastisch)*ABS(M311-x_3)*10^3)*(COS(ABS(M311-x_3)*10^3/Lelastisch)+SIN(ABS(M311-x_3)*10^3/Lelastisch))+(Achslast_2*10^3/2)/(8*(1/Lelastisch)^3)*EXP(-(1/Lelastisch)*ABS(M311-x_2)*10^3)*(COS(ABS(M311-x_2)*10^3/Lelastisch)+SIN(ABS(M311-x_2)*10^3/Lelastisch))+(Achslast_1*10^3/2)/(8*(1/Lelastisch)^3)*EXP(-(1/Lelastisch)*ABS(M311-x_1)*10^3)*(COS(ABS(M311-x_1)*10^3/Lelastisch)+SIN(ABS(M311-x_1)*10^3/Lelastisch)))</f>
        <v>#REF!</v>
      </c>
      <c r="O311" s="139" t="e">
        <f t="shared" si="44"/>
        <v>#REF!</v>
      </c>
      <c r="P311" s="139" t="e">
        <f t="shared" ref="P311:P312" si="53">((Achslast_4*10^3*kd*kq/2)/(4*(1/Lelastisch))*EXP(-(1/Lelastisch)*ABS(M311-x4_)*10^3)*(COS(ABS(M311-x4_)*10^3/Lelastisch)-SIN(ABS(M311-x4_)*10^3/Lelastisch))+(Achslast_3*10^3*kd*kq/2)/(4*(1/Lelastisch))*EXP(-(1/Lelastisch)*ABS(M311-x_3)*10^3)*(COS(ABS(M311-x_3)*10^3/Lelastisch)-SIN(ABS(M311-x_3)*10^3/Lelastisch))+(Achslast_2*10^3*kd*kq/2)/(4*(1/Lelastisch))*EXP(-(1/Lelastisch)*ABS(M311-x_2)*10^3)*(COS(ABS(M311-x_2)*10^3/Lelastisch)-SIN(ABS(M311-x_2)*10^3/Lelastisch))+(Achslast_1*10^3*kd*kq/2)/(4*(1/Lelastisch))*EXP(-(1/Lelastisch)*ABS(M311-x_1)*10^3)*(COS(ABS(M311-x_1)*10^3/Lelastisch)-SIN(ABS(M311-x_1)*10^3/Lelastisch)))*10^-6</f>
        <v>#REF!</v>
      </c>
      <c r="Q311" s="139" t="e">
        <f t="shared" ref="Q311:Q312" si="54">P311/WSchiene*10^6</f>
        <v>#REF!</v>
      </c>
      <c r="R311" s="140" t="e">
        <f t="shared" si="47"/>
        <v>#REF!</v>
      </c>
      <c r="S311" s="140" t="e">
        <f t="shared" si="48"/>
        <v>#REF!</v>
      </c>
      <c r="T311" s="40" t="e">
        <f t="shared" si="51"/>
        <v>#REF!</v>
      </c>
      <c r="U311" s="39" t="e">
        <f t="shared" si="42"/>
        <v>#REF!</v>
      </c>
      <c r="V311" s="139" t="e">
        <f t="shared" si="49"/>
        <v>#REF!</v>
      </c>
    </row>
    <row r="312" spans="13:22">
      <c r="M312" s="38">
        <f t="shared" si="50"/>
        <v>30.200000000000159</v>
      </c>
      <c r="N312" s="139" t="e">
        <f t="shared" si="52"/>
        <v>#REF!</v>
      </c>
      <c r="O312" s="139" t="e">
        <f t="shared" si="44"/>
        <v>#REF!</v>
      </c>
      <c r="P312" s="139" t="e">
        <f t="shared" si="53"/>
        <v>#REF!</v>
      </c>
      <c r="Q312" s="139" t="e">
        <f t="shared" si="54"/>
        <v>#REF!</v>
      </c>
      <c r="R312" s="140" t="e">
        <f t="shared" si="47"/>
        <v>#REF!</v>
      </c>
      <c r="S312" s="140" t="e">
        <f t="shared" si="48"/>
        <v>#REF!</v>
      </c>
      <c r="T312" s="40" t="e">
        <f t="shared" si="51"/>
        <v>#REF!</v>
      </c>
      <c r="U312" s="39" t="e">
        <f t="shared" si="42"/>
        <v>#REF!</v>
      </c>
      <c r="V312" s="139" t="e">
        <f t="shared" si="49"/>
        <v>#REF!</v>
      </c>
    </row>
    <row r="313" spans="13:22">
      <c r="M313" s="38">
        <f t="shared" si="50"/>
        <v>30.300000000000161</v>
      </c>
      <c r="N313" s="139" t="e">
        <f t="shared" ref="N313:N329" si="55">(1/(ESchiene*ISchiene))*((Achslast_4*10^3/2)/(8*(1/Lelastisch)^3)*EXP(-(1/Lelastisch)*ABS(M313-x4_)*10^3)*(COS(ABS(M313-x4_)*10^3/Lelastisch)+SIN(ABS(M313-x4_)*10^3/Lelastisch))+(Achslast_3*10^3/2)/(8*(1/Lelastisch)^3)*EXP(-(1/Lelastisch)*ABS(M313-x_3)*10^3)*(COS(ABS(M313-x_3)*10^3/Lelastisch)+SIN(ABS(M313-x_3)*10^3/Lelastisch))+(Achslast_2*10^3/2)/(8*(1/Lelastisch)^3)*EXP(-(1/Lelastisch)*ABS(M313-x_2)*10^3)*(COS(ABS(M313-x_2)*10^3/Lelastisch)+SIN(ABS(M313-x_2)*10^3/Lelastisch))+(Achslast_1*10^3/2)/(8*(1/Lelastisch)^3)*EXP(-(1/Lelastisch)*ABS(M313-x_1)*10^3)*(COS(ABS(M313-x_1)*10^3/Lelastisch)+SIN(ABS(M313-x_1)*10^3/Lelastisch)))</f>
        <v>#REF!</v>
      </c>
      <c r="O313" s="139" t="e">
        <f t="shared" si="44"/>
        <v>#REF!</v>
      </c>
      <c r="P313" s="139" t="e">
        <f t="shared" ref="P313:P329" si="56">((Achslast_4*10^3*kd*kq/2)/(4*(1/Lelastisch))*EXP(-(1/Lelastisch)*ABS(M313-x4_)*10^3)*(COS(ABS(M313-x4_)*10^3/Lelastisch)-SIN(ABS(M313-x4_)*10^3/Lelastisch))+(Achslast_3*10^3*kd*kq/2)/(4*(1/Lelastisch))*EXP(-(1/Lelastisch)*ABS(M313-x_3)*10^3)*(COS(ABS(M313-x_3)*10^3/Lelastisch)-SIN(ABS(M313-x_3)*10^3/Lelastisch))+(Achslast_2*10^3*kd*kq/2)/(4*(1/Lelastisch))*EXP(-(1/Lelastisch)*ABS(M313-x_2)*10^3)*(COS(ABS(M313-x_2)*10^3/Lelastisch)-SIN(ABS(M313-x_2)*10^3/Lelastisch))+(Achslast_1*10^3*kd*kq/2)/(4*(1/Lelastisch))*EXP(-(1/Lelastisch)*ABS(M313-x_1)*10^3)*(COS(ABS(M313-x_1)*10^3/Lelastisch)-SIN(ABS(M313-x_1)*10^3/Lelastisch)))*10^-6</f>
        <v>#REF!</v>
      </c>
      <c r="Q313" s="139" t="e">
        <f t="shared" ref="Q313:Q329" si="57">P313/WSchiene*10^6</f>
        <v>#REF!</v>
      </c>
      <c r="R313" s="140" t="e">
        <f t="shared" si="47"/>
        <v>#REF!</v>
      </c>
      <c r="S313" s="140" t="e">
        <f t="shared" si="48"/>
        <v>#REF!</v>
      </c>
      <c r="T313" s="40" t="e">
        <f t="shared" si="51"/>
        <v>#REF!</v>
      </c>
      <c r="U313" s="39" t="e">
        <f t="shared" si="42"/>
        <v>#REF!</v>
      </c>
      <c r="V313" s="139" t="e">
        <f t="shared" si="49"/>
        <v>#REF!</v>
      </c>
    </row>
    <row r="314" spans="13:22">
      <c r="M314" s="38">
        <f t="shared" si="50"/>
        <v>30.400000000000162</v>
      </c>
      <c r="N314" s="139" t="e">
        <f t="shared" si="55"/>
        <v>#REF!</v>
      </c>
      <c r="O314" s="139" t="e">
        <f t="shared" si="44"/>
        <v>#REF!</v>
      </c>
      <c r="P314" s="139" t="e">
        <f t="shared" si="56"/>
        <v>#REF!</v>
      </c>
      <c r="Q314" s="139" t="e">
        <f t="shared" si="57"/>
        <v>#REF!</v>
      </c>
      <c r="R314" s="140" t="e">
        <f t="shared" si="47"/>
        <v>#REF!</v>
      </c>
      <c r="S314" s="140" t="e">
        <f t="shared" si="48"/>
        <v>#REF!</v>
      </c>
      <c r="T314" s="40" t="e">
        <f t="shared" si="51"/>
        <v>#REF!</v>
      </c>
      <c r="U314" s="39" t="e">
        <f t="shared" si="42"/>
        <v>#REF!</v>
      </c>
      <c r="V314" s="139" t="e">
        <f t="shared" si="49"/>
        <v>#REF!</v>
      </c>
    </row>
    <row r="315" spans="13:22">
      <c r="M315" s="38">
        <f t="shared" si="50"/>
        <v>30.500000000000163</v>
      </c>
      <c r="N315" s="139" t="e">
        <f t="shared" si="55"/>
        <v>#REF!</v>
      </c>
      <c r="O315" s="139" t="e">
        <f t="shared" si="44"/>
        <v>#REF!</v>
      </c>
      <c r="P315" s="139" t="e">
        <f t="shared" si="56"/>
        <v>#REF!</v>
      </c>
      <c r="Q315" s="139" t="e">
        <f t="shared" si="57"/>
        <v>#REF!</v>
      </c>
      <c r="R315" s="140" t="e">
        <f t="shared" si="47"/>
        <v>#REF!</v>
      </c>
      <c r="S315" s="140" t="e">
        <f t="shared" si="48"/>
        <v>#REF!</v>
      </c>
      <c r="T315" s="40" t="e">
        <f t="shared" si="51"/>
        <v>#REF!</v>
      </c>
      <c r="U315" s="39" t="e">
        <f t="shared" si="42"/>
        <v>#REF!</v>
      </c>
      <c r="V315" s="139" t="e">
        <f t="shared" si="49"/>
        <v>#REF!</v>
      </c>
    </row>
    <row r="316" spans="13:22">
      <c r="M316" s="38">
        <f t="shared" si="50"/>
        <v>30.600000000000165</v>
      </c>
      <c r="N316" s="139" t="e">
        <f t="shared" si="55"/>
        <v>#REF!</v>
      </c>
      <c r="O316" s="139" t="e">
        <f t="shared" si="44"/>
        <v>#REF!</v>
      </c>
      <c r="P316" s="139" t="e">
        <f t="shared" si="56"/>
        <v>#REF!</v>
      </c>
      <c r="Q316" s="139" t="e">
        <f t="shared" si="57"/>
        <v>#REF!</v>
      </c>
      <c r="R316" s="140" t="e">
        <f t="shared" si="47"/>
        <v>#REF!</v>
      </c>
      <c r="S316" s="140" t="e">
        <f t="shared" si="48"/>
        <v>#REF!</v>
      </c>
      <c r="T316" s="40" t="e">
        <f t="shared" si="51"/>
        <v>#REF!</v>
      </c>
      <c r="U316" s="39" t="e">
        <f t="shared" si="42"/>
        <v>#REF!</v>
      </c>
      <c r="V316" s="139" t="e">
        <f t="shared" si="49"/>
        <v>#REF!</v>
      </c>
    </row>
    <row r="317" spans="13:22">
      <c r="M317" s="38">
        <f t="shared" si="50"/>
        <v>30.700000000000166</v>
      </c>
      <c r="N317" s="139" t="e">
        <f t="shared" si="55"/>
        <v>#REF!</v>
      </c>
      <c r="O317" s="139" t="e">
        <f t="shared" si="44"/>
        <v>#REF!</v>
      </c>
      <c r="P317" s="139" t="e">
        <f t="shared" si="56"/>
        <v>#REF!</v>
      </c>
      <c r="Q317" s="139" t="e">
        <f t="shared" si="57"/>
        <v>#REF!</v>
      </c>
      <c r="R317" s="140" t="e">
        <f t="shared" si="47"/>
        <v>#REF!</v>
      </c>
      <c r="S317" s="140" t="e">
        <f t="shared" si="48"/>
        <v>#REF!</v>
      </c>
      <c r="T317" s="40" t="e">
        <f t="shared" si="51"/>
        <v>#REF!</v>
      </c>
      <c r="U317" s="39" t="e">
        <f t="shared" si="42"/>
        <v>#REF!</v>
      </c>
      <c r="V317" s="139" t="e">
        <f t="shared" si="49"/>
        <v>#REF!</v>
      </c>
    </row>
    <row r="318" spans="13:22">
      <c r="M318" s="38">
        <f t="shared" si="50"/>
        <v>30.800000000000168</v>
      </c>
      <c r="N318" s="139" t="e">
        <f t="shared" si="55"/>
        <v>#REF!</v>
      </c>
      <c r="O318" s="139" t="e">
        <f t="shared" si="44"/>
        <v>#REF!</v>
      </c>
      <c r="P318" s="139" t="e">
        <f t="shared" si="56"/>
        <v>#REF!</v>
      </c>
      <c r="Q318" s="139" t="e">
        <f t="shared" si="57"/>
        <v>#REF!</v>
      </c>
      <c r="R318" s="140" t="e">
        <f t="shared" si="47"/>
        <v>#REF!</v>
      </c>
      <c r="S318" s="140" t="e">
        <f t="shared" si="48"/>
        <v>#REF!</v>
      </c>
      <c r="T318" s="40" t="e">
        <f t="shared" si="51"/>
        <v>#REF!</v>
      </c>
      <c r="U318" s="39" t="e">
        <f t="shared" si="42"/>
        <v>#REF!</v>
      </c>
      <c r="V318" s="139" t="e">
        <f t="shared" si="49"/>
        <v>#REF!</v>
      </c>
    </row>
    <row r="319" spans="13:22">
      <c r="M319" s="38">
        <f t="shared" si="50"/>
        <v>30.900000000000169</v>
      </c>
      <c r="N319" s="139" t="e">
        <f t="shared" si="55"/>
        <v>#REF!</v>
      </c>
      <c r="O319" s="139" t="e">
        <f t="shared" si="44"/>
        <v>#REF!</v>
      </c>
      <c r="P319" s="139" t="e">
        <f t="shared" si="56"/>
        <v>#REF!</v>
      </c>
      <c r="Q319" s="139" t="e">
        <f t="shared" si="57"/>
        <v>#REF!</v>
      </c>
      <c r="R319" s="140" t="e">
        <f t="shared" si="47"/>
        <v>#REF!</v>
      </c>
      <c r="S319" s="140" t="e">
        <f t="shared" si="48"/>
        <v>#REF!</v>
      </c>
      <c r="T319" s="40" t="e">
        <f t="shared" si="51"/>
        <v>#REF!</v>
      </c>
      <c r="U319" s="39" t="e">
        <f t="shared" si="42"/>
        <v>#REF!</v>
      </c>
      <c r="V319" s="139" t="e">
        <f t="shared" si="49"/>
        <v>#REF!</v>
      </c>
    </row>
    <row r="320" spans="13:22">
      <c r="M320" s="38">
        <f t="shared" si="50"/>
        <v>31.000000000000171</v>
      </c>
      <c r="N320" s="139" t="e">
        <f t="shared" si="55"/>
        <v>#REF!</v>
      </c>
      <c r="O320" s="139" t="e">
        <f t="shared" si="44"/>
        <v>#REF!</v>
      </c>
      <c r="P320" s="139" t="e">
        <f t="shared" si="56"/>
        <v>#REF!</v>
      </c>
      <c r="Q320" s="139" t="e">
        <f t="shared" si="57"/>
        <v>#REF!</v>
      </c>
      <c r="R320" s="140" t="e">
        <f t="shared" si="47"/>
        <v>#REF!</v>
      </c>
      <c r="S320" s="140" t="e">
        <f t="shared" si="48"/>
        <v>#REF!</v>
      </c>
      <c r="T320" s="40" t="e">
        <f t="shared" si="51"/>
        <v>#REF!</v>
      </c>
      <c r="U320" s="39" t="e">
        <f t="shared" si="42"/>
        <v>#REF!</v>
      </c>
      <c r="V320" s="139" t="e">
        <f t="shared" si="49"/>
        <v>#REF!</v>
      </c>
    </row>
    <row r="321" spans="13:22">
      <c r="M321" s="38">
        <f t="shared" si="50"/>
        <v>31.100000000000172</v>
      </c>
      <c r="N321" s="139" t="e">
        <f t="shared" si="55"/>
        <v>#REF!</v>
      </c>
      <c r="O321" s="139" t="e">
        <f t="shared" si="44"/>
        <v>#REF!</v>
      </c>
      <c r="P321" s="139" t="e">
        <f t="shared" si="56"/>
        <v>#REF!</v>
      </c>
      <c r="Q321" s="139" t="e">
        <f t="shared" si="57"/>
        <v>#REF!</v>
      </c>
      <c r="R321" s="140" t="e">
        <f t="shared" si="47"/>
        <v>#REF!</v>
      </c>
      <c r="S321" s="140" t="e">
        <f t="shared" si="48"/>
        <v>#REF!</v>
      </c>
      <c r="T321" s="40" t="e">
        <f t="shared" si="51"/>
        <v>#REF!</v>
      </c>
      <c r="U321" s="39" t="e">
        <f t="shared" si="42"/>
        <v>#REF!</v>
      </c>
      <c r="V321" s="139" t="e">
        <f t="shared" si="49"/>
        <v>#REF!</v>
      </c>
    </row>
    <row r="322" spans="13:22">
      <c r="M322" s="38">
        <f t="shared" si="50"/>
        <v>31.200000000000173</v>
      </c>
      <c r="N322" s="139" t="e">
        <f t="shared" si="55"/>
        <v>#REF!</v>
      </c>
      <c r="O322" s="139" t="e">
        <f t="shared" si="44"/>
        <v>#REF!</v>
      </c>
      <c r="P322" s="139" t="e">
        <f t="shared" si="56"/>
        <v>#REF!</v>
      </c>
      <c r="Q322" s="139" t="e">
        <f t="shared" si="57"/>
        <v>#REF!</v>
      </c>
      <c r="R322" s="140" t="e">
        <f t="shared" si="47"/>
        <v>#REF!</v>
      </c>
      <c r="S322" s="140" t="e">
        <f t="shared" si="48"/>
        <v>#REF!</v>
      </c>
      <c r="T322" s="40" t="e">
        <f t="shared" si="51"/>
        <v>#REF!</v>
      </c>
      <c r="U322" s="39" t="e">
        <f t="shared" si="42"/>
        <v>#REF!</v>
      </c>
      <c r="V322" s="139" t="e">
        <f t="shared" si="49"/>
        <v>#REF!</v>
      </c>
    </row>
    <row r="323" spans="13:22">
      <c r="M323" s="38">
        <f t="shared" si="50"/>
        <v>31.300000000000175</v>
      </c>
      <c r="N323" s="139" t="e">
        <f t="shared" si="55"/>
        <v>#REF!</v>
      </c>
      <c r="O323" s="139" t="e">
        <f t="shared" si="44"/>
        <v>#REF!</v>
      </c>
      <c r="P323" s="139" t="e">
        <f t="shared" si="56"/>
        <v>#REF!</v>
      </c>
      <c r="Q323" s="139" t="e">
        <f t="shared" si="57"/>
        <v>#REF!</v>
      </c>
      <c r="R323" s="140" t="e">
        <f t="shared" si="47"/>
        <v>#REF!</v>
      </c>
      <c r="S323" s="140" t="e">
        <f t="shared" si="48"/>
        <v>#REF!</v>
      </c>
      <c r="T323" s="40" t="e">
        <f t="shared" si="51"/>
        <v>#REF!</v>
      </c>
      <c r="U323" s="39" t="e">
        <f t="shared" si="42"/>
        <v>#REF!</v>
      </c>
      <c r="V323" s="139" t="e">
        <f t="shared" si="49"/>
        <v>#REF!</v>
      </c>
    </row>
    <row r="324" spans="13:22">
      <c r="M324" s="38">
        <f t="shared" si="50"/>
        <v>31.400000000000176</v>
      </c>
      <c r="N324" s="139" t="e">
        <f t="shared" si="55"/>
        <v>#REF!</v>
      </c>
      <c r="O324" s="139" t="e">
        <f t="shared" si="44"/>
        <v>#REF!</v>
      </c>
      <c r="P324" s="139" t="e">
        <f t="shared" si="56"/>
        <v>#REF!</v>
      </c>
      <c r="Q324" s="139" t="e">
        <f t="shared" si="57"/>
        <v>#REF!</v>
      </c>
      <c r="R324" s="140" t="e">
        <f t="shared" si="47"/>
        <v>#REF!</v>
      </c>
      <c r="S324" s="140" t="e">
        <f t="shared" si="48"/>
        <v>#REF!</v>
      </c>
      <c r="T324" s="40" t="e">
        <f t="shared" si="51"/>
        <v>#REF!</v>
      </c>
      <c r="U324" s="39" t="e">
        <f t="shared" si="42"/>
        <v>#REF!</v>
      </c>
      <c r="V324" s="139" t="e">
        <f t="shared" si="49"/>
        <v>#REF!</v>
      </c>
    </row>
    <row r="325" spans="13:22">
      <c r="M325" s="38">
        <f t="shared" si="50"/>
        <v>31.500000000000178</v>
      </c>
      <c r="N325" s="139" t="e">
        <f t="shared" si="55"/>
        <v>#REF!</v>
      </c>
      <c r="O325" s="139" t="e">
        <f t="shared" si="44"/>
        <v>#REF!</v>
      </c>
      <c r="P325" s="139" t="e">
        <f t="shared" si="56"/>
        <v>#REF!</v>
      </c>
      <c r="Q325" s="139" t="e">
        <f t="shared" si="57"/>
        <v>#REF!</v>
      </c>
      <c r="R325" s="140" t="e">
        <f t="shared" si="47"/>
        <v>#REF!</v>
      </c>
      <c r="S325" s="140" t="e">
        <f t="shared" si="48"/>
        <v>#REF!</v>
      </c>
      <c r="T325" s="40" t="e">
        <f t="shared" si="51"/>
        <v>#REF!</v>
      </c>
      <c r="U325" s="39" t="e">
        <f t="shared" si="42"/>
        <v>#REF!</v>
      </c>
      <c r="V325" s="139" t="e">
        <f t="shared" si="49"/>
        <v>#REF!</v>
      </c>
    </row>
    <row r="326" spans="13:22">
      <c r="M326" s="38">
        <f t="shared" si="50"/>
        <v>31.600000000000179</v>
      </c>
      <c r="N326" s="139" t="e">
        <f t="shared" si="55"/>
        <v>#REF!</v>
      </c>
      <c r="O326" s="139" t="e">
        <f t="shared" si="44"/>
        <v>#REF!</v>
      </c>
      <c r="P326" s="139" t="e">
        <f t="shared" si="56"/>
        <v>#REF!</v>
      </c>
      <c r="Q326" s="139" t="e">
        <f t="shared" si="57"/>
        <v>#REF!</v>
      </c>
      <c r="R326" s="140" t="e">
        <f t="shared" si="47"/>
        <v>#REF!</v>
      </c>
      <c r="S326" s="140" t="e">
        <f t="shared" si="48"/>
        <v>#REF!</v>
      </c>
      <c r="T326" s="40" t="e">
        <f t="shared" si="51"/>
        <v>#REF!</v>
      </c>
      <c r="U326" s="39" t="e">
        <f t="shared" si="42"/>
        <v>#REF!</v>
      </c>
      <c r="V326" s="139" t="e">
        <f t="shared" si="49"/>
        <v>#REF!</v>
      </c>
    </row>
    <row r="327" spans="13:22">
      <c r="M327" s="38">
        <f t="shared" si="50"/>
        <v>31.70000000000018</v>
      </c>
      <c r="N327" s="139" t="e">
        <f t="shared" si="55"/>
        <v>#REF!</v>
      </c>
      <c r="O327" s="139" t="e">
        <f t="shared" si="44"/>
        <v>#REF!</v>
      </c>
      <c r="P327" s="139" t="e">
        <f t="shared" si="56"/>
        <v>#REF!</v>
      </c>
      <c r="Q327" s="139" t="e">
        <f t="shared" si="57"/>
        <v>#REF!</v>
      </c>
      <c r="R327" s="140" t="e">
        <f t="shared" si="47"/>
        <v>#REF!</v>
      </c>
      <c r="S327" s="140" t="e">
        <f t="shared" si="48"/>
        <v>#REF!</v>
      </c>
      <c r="T327" s="40" t="e">
        <f t="shared" si="51"/>
        <v>#REF!</v>
      </c>
      <c r="U327" s="39" t="e">
        <f t="shared" si="42"/>
        <v>#REF!</v>
      </c>
      <c r="V327" s="139" t="e">
        <f t="shared" si="49"/>
        <v>#REF!</v>
      </c>
    </row>
    <row r="328" spans="13:22">
      <c r="M328" s="38">
        <f t="shared" si="50"/>
        <v>31.800000000000182</v>
      </c>
      <c r="N328" s="139" t="e">
        <f t="shared" si="55"/>
        <v>#REF!</v>
      </c>
      <c r="O328" s="139" t="e">
        <f t="shared" si="44"/>
        <v>#REF!</v>
      </c>
      <c r="P328" s="139" t="e">
        <f t="shared" si="56"/>
        <v>#REF!</v>
      </c>
      <c r="Q328" s="139" t="e">
        <f t="shared" si="57"/>
        <v>#REF!</v>
      </c>
      <c r="R328" s="140" t="e">
        <f t="shared" si="47"/>
        <v>#REF!</v>
      </c>
      <c r="S328" s="140" t="e">
        <f t="shared" si="48"/>
        <v>#REF!</v>
      </c>
      <c r="T328" s="40" t="e">
        <f t="shared" si="51"/>
        <v>#REF!</v>
      </c>
      <c r="U328" s="39" t="e">
        <f t="shared" si="42"/>
        <v>#REF!</v>
      </c>
      <c r="V328" s="139" t="e">
        <f t="shared" si="49"/>
        <v>#REF!</v>
      </c>
    </row>
    <row r="329" spans="13:22">
      <c r="M329" s="38">
        <f t="shared" si="50"/>
        <v>31.900000000000183</v>
      </c>
      <c r="N329" s="139" t="e">
        <f t="shared" si="55"/>
        <v>#REF!</v>
      </c>
      <c r="O329" s="139" t="e">
        <f t="shared" si="44"/>
        <v>#REF!</v>
      </c>
      <c r="P329" s="139" t="e">
        <f t="shared" si="56"/>
        <v>#REF!</v>
      </c>
      <c r="Q329" s="139" t="e">
        <f t="shared" si="57"/>
        <v>#REF!</v>
      </c>
      <c r="R329" s="140" t="e">
        <f t="shared" si="47"/>
        <v>#REF!</v>
      </c>
      <c r="S329" s="140" t="e">
        <f t="shared" si="48"/>
        <v>#REF!</v>
      </c>
      <c r="T329" s="40" t="e">
        <f t="shared" si="51"/>
        <v>#REF!</v>
      </c>
      <c r="U329" s="39" t="e">
        <f t="shared" si="42"/>
        <v>#REF!</v>
      </c>
      <c r="V329" s="139" t="e">
        <f t="shared" si="49"/>
        <v>#REF!</v>
      </c>
    </row>
    <row r="330" spans="13:22">
      <c r="M330" s="38">
        <f t="shared" si="50"/>
        <v>32</v>
      </c>
      <c r="N330" s="139" t="e">
        <f t="shared" ref="N330" si="58">(1/(ESchiene*ISchiene))*((Achslast_4*10^3/2)/(8*(1/Lelastisch)^3)*EXP(-(1/Lelastisch)*ABS(M330-x4_)*10^3)*(COS(ABS(M330-x4_)*10^3/Lelastisch)+SIN(ABS(M330-x4_)*10^3/Lelastisch))+(Achslast_3*10^3/2)/(8*(1/Lelastisch)^3)*EXP(-(1/Lelastisch)*ABS(M330-x_3)*10^3)*(COS(ABS(M330-x_3)*10^3/Lelastisch)+SIN(ABS(M330-x_3)*10^3/Lelastisch))+(Achslast_2*10^3/2)/(8*(1/Lelastisch)^3)*EXP(-(1/Lelastisch)*ABS(M330-x_2)*10^3)*(COS(ABS(M330-x_2)*10^3/Lelastisch)+SIN(ABS(M330-x_2)*10^3/Lelastisch))+(Achslast_1*10^3/2)/(8*(1/Lelastisch)^3)*EXP(-(1/Lelastisch)*ABS(M330-x_1)*10^3)*(COS(ABS(M330-x_1)*10^3/Lelastisch)+SIN(ABS(M330-x_1)*10^3/Lelastisch)))</f>
        <v>#REF!</v>
      </c>
      <c r="O330" s="139" t="e">
        <f t="shared" si="44"/>
        <v>#REF!</v>
      </c>
      <c r="P330" s="139" t="e">
        <f t="shared" ref="P330" si="59">((Achslast_4*10^3*kd*kq/2)/(4*(1/Lelastisch))*EXP(-(1/Lelastisch)*ABS(M330-x4_)*10^3)*(COS(ABS(M330-x4_)*10^3/Lelastisch)-SIN(ABS(M330-x4_)*10^3/Lelastisch))+(Achslast_3*10^3*kd*kq/2)/(4*(1/Lelastisch))*EXP(-(1/Lelastisch)*ABS(M330-x_3)*10^3)*(COS(ABS(M330-x_3)*10^3/Lelastisch)-SIN(ABS(M330-x_3)*10^3/Lelastisch))+(Achslast_2*10^3*kd*kq/2)/(4*(1/Lelastisch))*EXP(-(1/Lelastisch)*ABS(M330-x_2)*10^3)*(COS(ABS(M330-x_2)*10^3/Lelastisch)-SIN(ABS(M330-x_2)*10^3/Lelastisch))+(Achslast_1*10^3*kd*kq/2)/(4*(1/Lelastisch))*EXP(-(1/Lelastisch)*ABS(M330-x_1)*10^3)*(COS(ABS(M330-x_1)*10^3/Lelastisch)-SIN(ABS(M330-x_1)*10^3/Lelastisch)))*10^-6</f>
        <v>#REF!</v>
      </c>
      <c r="Q330" s="139" t="e">
        <f t="shared" ref="Q330" si="60">P330/WSchiene*10^6</f>
        <v>#REF!</v>
      </c>
      <c r="R330" s="140" t="e">
        <f t="shared" si="47"/>
        <v>#REF!</v>
      </c>
      <c r="S330" s="140" t="e">
        <f t="shared" si="48"/>
        <v>#REF!</v>
      </c>
      <c r="T330" s="40" t="e">
        <f t="shared" si="51"/>
        <v>#REF!</v>
      </c>
      <c r="U330" s="39" t="e">
        <f t="shared" si="42"/>
        <v>#REF!</v>
      </c>
      <c r="V330" s="139" t="e">
        <f t="shared" ref="V330" si="61">MAX($U$8:$U$330)</f>
        <v>#REF!</v>
      </c>
    </row>
  </sheetData>
  <sheetProtection selectLockedCells="1"/>
  <mergeCells count="6">
    <mergeCell ref="I3:J3"/>
    <mergeCell ref="I4:J4"/>
    <mergeCell ref="A34:B34"/>
    <mergeCell ref="A35:B35"/>
    <mergeCell ref="A123:C123"/>
    <mergeCell ref="A4:E5"/>
  </mergeCells>
  <conditionalFormatting sqref="B12">
    <cfRule type="expression" dxfId="180" priority="12">
      <formula>OR($B$12="46E1",$B$12="54E2",$B$12="60E1")</formula>
    </cfRule>
    <cfRule type="expression" dxfId="179" priority="16">
      <formula>"ODER($B$17=""B91"";$B$17=""B06"";$B$17=""HD""+$A$12;$B$17=""Holz"";$B$17=""Stahl"";$B$17=""Y-Stahl"""</formula>
    </cfRule>
  </conditionalFormatting>
  <conditionalFormatting sqref="B17">
    <cfRule type="expression" dxfId="178" priority="15">
      <formula>OR($B$17="B91",$B$17="B06",$B$17="HD",$B$17="Holz",$B$17="Stahl",$B$17="Y-Stahl")</formula>
    </cfRule>
  </conditionalFormatting>
  <conditionalFormatting sqref="C23">
    <cfRule type="expression" dxfId="177" priority="14">
      <formula>$C$23&gt;0</formula>
    </cfRule>
  </conditionalFormatting>
  <conditionalFormatting sqref="D116">
    <cfRule type="expression" dxfId="176" priority="2">
      <formula>$D$116&gt;0</formula>
    </cfRule>
  </conditionalFormatting>
  <conditionalFormatting sqref="D117">
    <cfRule type="expression" dxfId="175" priority="1">
      <formula>$D$117&gt;0</formula>
    </cfRule>
  </conditionalFormatting>
  <conditionalFormatting sqref="I7">
    <cfRule type="expression" dxfId="174" priority="13">
      <formula>$I$7&gt;0</formula>
    </cfRule>
  </conditionalFormatting>
  <conditionalFormatting sqref="I9">
    <cfRule type="expression" dxfId="173" priority="11">
      <formula>$I$9&gt;0</formula>
    </cfRule>
  </conditionalFormatting>
  <conditionalFormatting sqref="I13">
    <cfRule type="expression" dxfId="172" priority="10">
      <formula>$I$13&gt;0</formula>
    </cfRule>
  </conditionalFormatting>
  <conditionalFormatting sqref="I16">
    <cfRule type="expression" dxfId="171" priority="9">
      <formula>$I$16&gt;0.1</formula>
    </cfRule>
  </conditionalFormatting>
  <conditionalFormatting sqref="I19">
    <cfRule type="expression" dxfId="170" priority="8">
      <formula>$I$19&gt;0</formula>
    </cfRule>
  </conditionalFormatting>
  <conditionalFormatting sqref="I23">
    <cfRule type="expression" dxfId="169" priority="7">
      <formula>$I$23&gt;0</formula>
    </cfRule>
  </conditionalFormatting>
  <conditionalFormatting sqref="I3:J3">
    <cfRule type="expression" dxfId="168" priority="21">
      <formula>$K$4&gt;=6</formula>
    </cfRule>
  </conditionalFormatting>
  <conditionalFormatting sqref="I4:J4">
    <cfRule type="expression" dxfId="167" priority="3">
      <formula>$K$4&gt;=6</formula>
    </cfRule>
  </conditionalFormatting>
  <conditionalFormatting sqref="N1:N1048576">
    <cfRule type="cellIs" dxfId="166" priority="19" operator="equal">
      <formula>$B$55</formula>
    </cfRule>
  </conditionalFormatting>
  <pageMargins left="0.7" right="0.7" top="0.78740157499999996" bottom="0.78740157499999996" header="0.3" footer="0.3"/>
  <pageSetup paperSize="9" scale="64" orientation="portrait" r:id="rId1"/>
  <rowBreaks count="3" manualBreakCount="3">
    <brk id="75" max="10" man="1"/>
    <brk id="168" max="10" man="1"/>
    <brk id="182" max="10" man="1"/>
  </rowBreaks>
  <colBreaks count="1" manualBreakCount="1">
    <brk id="11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8EBF8F-519C-4DB6-9000-9B963EFF5EFE}">
          <x14:formula1>
            <xm:f>Komponenten!$A$13:$A$18</xm:f>
          </x14:formula1>
          <xm:sqref>B17</xm:sqref>
        </x14:dataValidation>
        <x14:dataValidation type="list" allowBlank="1" showInputMessage="1" showErrorMessage="1" xr:uid="{778D7AC6-3AE9-4586-B352-5F2B637B20E4}">
          <x14:formula1>
            <xm:f>Komponenten!$A$3:$A$4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3032B-2C86-49A6-9AB2-2E8CD22D7C6A}">
  <sheetPr codeName="Tabelle5"/>
  <dimension ref="A1:V338"/>
  <sheetViews>
    <sheetView tabSelected="1" topLeftCell="A125" zoomScaleNormal="100" workbookViewId="0">
      <selection activeCell="B17" sqref="B17"/>
    </sheetView>
  </sheetViews>
  <sheetFormatPr baseColWidth="10" defaultColWidth="11.453125" defaultRowHeight="14.5"/>
  <cols>
    <col min="1" max="1" width="20.453125" customWidth="1"/>
    <col min="2" max="2" width="19.26953125" customWidth="1"/>
    <col min="3" max="3" width="8.7265625" customWidth="1"/>
    <col min="4" max="4" width="13.54296875" customWidth="1"/>
    <col min="5" max="5" width="6.1796875" customWidth="1"/>
    <col min="6" max="6" width="2.1796875" customWidth="1"/>
    <col min="7" max="7" width="16.54296875" customWidth="1"/>
    <col min="8" max="8" width="9.453125" customWidth="1"/>
    <col min="9" max="9" width="10.1796875" customWidth="1"/>
    <col min="10" max="10" width="8.7265625" customWidth="1"/>
    <col min="11" max="11" width="12.26953125" customWidth="1"/>
    <col min="12" max="12" width="11.7265625" customWidth="1"/>
    <col min="13" max="13" width="11.1796875" hidden="1" customWidth="1"/>
    <col min="14" max="15" width="13" hidden="1" customWidth="1"/>
    <col min="16" max="16" width="11.1796875" hidden="1" customWidth="1"/>
    <col min="17" max="17" width="12" hidden="1" customWidth="1"/>
    <col min="18" max="20" width="11.1796875" hidden="1" customWidth="1"/>
    <col min="21" max="21" width="14.54296875" hidden="1" customWidth="1"/>
    <col min="22" max="22" width="11.1796875" hidden="1" customWidth="1"/>
    <col min="23" max="23" width="11.1796875" customWidth="1"/>
  </cols>
  <sheetData>
    <row r="1" spans="1:22">
      <c r="A1" s="49"/>
      <c r="B1" s="49"/>
      <c r="C1" s="49"/>
      <c r="D1" s="49"/>
      <c r="E1" s="49"/>
      <c r="F1" s="49"/>
      <c r="G1" s="49"/>
      <c r="H1" s="149"/>
      <c r="I1" s="150"/>
      <c r="J1" s="151"/>
      <c r="K1" s="49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>
      <c r="A2" s="49"/>
      <c r="B2" s="49"/>
      <c r="C2" s="49"/>
      <c r="D2" s="49"/>
      <c r="E2" s="49"/>
      <c r="F2" s="49"/>
      <c r="G2" s="49"/>
      <c r="H2" s="151"/>
      <c r="I2" s="151"/>
      <c r="J2" s="49"/>
      <c r="K2" s="49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>
      <c r="A3" s="49"/>
      <c r="B3" s="49"/>
      <c r="C3" s="49"/>
      <c r="D3" s="49"/>
      <c r="E3" s="49"/>
      <c r="F3" s="49"/>
      <c r="G3" s="49"/>
      <c r="H3" s="151"/>
      <c r="I3" s="337" t="s">
        <v>0</v>
      </c>
      <c r="J3" s="337"/>
      <c r="K3" s="49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ht="18" customHeight="1">
      <c r="A4" s="338"/>
      <c r="B4" s="338"/>
      <c r="C4" s="338"/>
      <c r="D4" s="338"/>
      <c r="E4" s="338"/>
      <c r="F4" s="206"/>
      <c r="G4" s="2"/>
      <c r="H4" s="2"/>
      <c r="I4" s="340" t="s">
        <v>2</v>
      </c>
      <c r="J4" s="341"/>
      <c r="K4" s="195">
        <f>E13+E18+E24+K7+K14+K24</f>
        <v>5</v>
      </c>
      <c r="L4" s="5"/>
      <c r="M4" s="6" t="s">
        <v>3</v>
      </c>
      <c r="N4" s="6"/>
      <c r="O4" s="6"/>
      <c r="P4" s="6"/>
      <c r="Q4" s="6"/>
      <c r="R4" s="6"/>
      <c r="S4" s="6"/>
      <c r="T4" s="6"/>
      <c r="U4" s="6"/>
    </row>
    <row r="5" spans="1:22" ht="15" customHeight="1">
      <c r="A5" s="338"/>
      <c r="B5" s="338"/>
      <c r="C5" s="338"/>
      <c r="D5" s="338"/>
      <c r="E5" s="338"/>
      <c r="F5" s="207"/>
      <c r="G5" s="9" t="s">
        <v>159</v>
      </c>
      <c r="H5" s="7"/>
      <c r="I5" s="7"/>
      <c r="J5" s="7"/>
      <c r="K5" s="10"/>
      <c r="L5" s="5"/>
      <c r="M5" s="11" t="s">
        <v>5</v>
      </c>
      <c r="N5" s="11" t="s">
        <v>6</v>
      </c>
      <c r="O5" s="11" t="s">
        <v>7</v>
      </c>
      <c r="P5" s="11" t="s">
        <v>7</v>
      </c>
      <c r="Q5" s="11" t="s">
        <v>8</v>
      </c>
      <c r="R5" s="11" t="s">
        <v>8</v>
      </c>
      <c r="S5" s="11" t="s">
        <v>8</v>
      </c>
      <c r="T5" s="11" t="s">
        <v>9</v>
      </c>
      <c r="U5" s="11" t="s">
        <v>10</v>
      </c>
    </row>
    <row r="6" spans="1:22" ht="15">
      <c r="A6" s="261" t="s">
        <v>160</v>
      </c>
      <c r="B6" s="1"/>
      <c r="C6" s="1"/>
      <c r="D6" s="1"/>
      <c r="E6" s="1"/>
      <c r="F6" s="8"/>
      <c r="G6" s="16" t="s">
        <v>16</v>
      </c>
      <c r="H6" s="17"/>
      <c r="I6" s="238"/>
      <c r="J6" s="18"/>
      <c r="K6" s="10"/>
      <c r="L6" s="5"/>
      <c r="M6" s="19" t="s">
        <v>17</v>
      </c>
      <c r="N6" s="11" t="s">
        <v>18</v>
      </c>
      <c r="O6" s="11" t="s">
        <v>19</v>
      </c>
      <c r="P6" s="11" t="s">
        <v>20</v>
      </c>
      <c r="Q6" s="20" t="s">
        <v>21</v>
      </c>
      <c r="R6" s="21" t="s">
        <v>22</v>
      </c>
      <c r="S6" s="21" t="s">
        <v>23</v>
      </c>
      <c r="T6" s="21"/>
      <c r="U6" s="11" t="s">
        <v>24</v>
      </c>
    </row>
    <row r="7" spans="1:22" ht="16">
      <c r="A7" s="1"/>
      <c r="B7" s="1"/>
      <c r="C7" s="1"/>
      <c r="D7" s="1"/>
      <c r="E7" s="1"/>
      <c r="F7" s="8"/>
      <c r="G7" s="26" t="s">
        <v>26</v>
      </c>
      <c r="H7" s="27" t="s">
        <v>27</v>
      </c>
      <c r="I7" s="239">
        <v>87</v>
      </c>
      <c r="J7" s="28" t="s">
        <v>28</v>
      </c>
      <c r="K7" s="162">
        <f>IF(k_zw&gt;0,1,0)</f>
        <v>1</v>
      </c>
      <c r="L7" s="30"/>
      <c r="M7" s="19" t="s">
        <v>15</v>
      </c>
      <c r="N7" s="11" t="s">
        <v>29</v>
      </c>
      <c r="O7" s="11" t="s">
        <v>30</v>
      </c>
      <c r="P7" s="11" t="s">
        <v>30</v>
      </c>
      <c r="Q7" s="11" t="s">
        <v>31</v>
      </c>
      <c r="R7" s="11" t="s">
        <v>31</v>
      </c>
      <c r="S7" s="11" t="s">
        <v>31</v>
      </c>
      <c r="T7" s="11"/>
      <c r="U7" s="11" t="s">
        <v>13</v>
      </c>
    </row>
    <row r="8" spans="1:22">
      <c r="A8" s="12" t="s">
        <v>11</v>
      </c>
      <c r="B8" s="13" t="s">
        <v>12</v>
      </c>
      <c r="C8" s="13" t="s">
        <v>13</v>
      </c>
      <c r="D8" s="14" t="s">
        <v>14</v>
      </c>
      <c r="E8" s="15" t="s">
        <v>15</v>
      </c>
      <c r="F8" s="8"/>
      <c r="G8" s="35" t="s">
        <v>34</v>
      </c>
      <c r="H8" s="36"/>
      <c r="I8" s="208"/>
      <c r="J8" s="242"/>
      <c r="K8" s="29"/>
      <c r="L8" s="30"/>
      <c r="M8" s="38">
        <f>x0</f>
        <v>0</v>
      </c>
      <c r="N8" s="39">
        <f>(1/(ESchiene_1*ISchiene_1))*((Achslast_2_2*10^3/2)/(8*(1/Lelastisch_1)^3)*EXP(-(1/Lelastisch_1)*ABS(M8-$D$32)*10^3)*(COS(ABS(M8-$D$32)*10^3/Lelastisch_1)+SIN(ABS(M8-$D$32)*10^3/Lelastisch_1))+(Achslast_1_2*10^3/2)/(8*(1/Lelastisch_1)^3)*EXP(-(1/Lelastisch_1)*ABS(M8-$D$31)*10^3)*(COS(ABS(M8-$D$31)*10^3/Lelastisch_1)+SIN(ABS(M8-$D$31)*10^3/Lelastisch_1)))</f>
        <v>8.6119614011383649E-9</v>
      </c>
      <c r="O8" s="39">
        <f>((Achslast_2_2*10^3/2)/(4*(1/Lelastisch_2))*EXP(-(1/Lelastisch_2)*ABS(M8-$D$32)*10^3)*(COS(ABS(M8-$D$32)*10^3/Lelastisch_2)-SIN(ABS(M8-$D$32)*10^3/Lelastisch_2))+(Achslast_1_2*10^3/2)/(4*(1/Lelastisch_2))*EXP(-(1/Lelastisch_2)*ABS(M8-$D$31)*10^3)*(COS(ABS(M8-$D$31)*10^3/Lelastisch_2)-SIN(ABS(M8-$D$31)*10^3/Lelastisch_2)))*10^-6</f>
        <v>1.5731255314270649E-7</v>
      </c>
      <c r="P8" s="39">
        <f>((Achslast_2_2*10^3*kd_2*kq_2/2)/(4*(1/Lelastisch_2))*EXP(-(1/Lelastisch_2)*ABS(M8-$D$32)*10^3)*(COS(ABS(M8-$D$32)*10^3/Lelastisch_2)-SIN(ABS(M8-$D$32)*10^3/Lelastisch_2))+(Achslast_1_2*10^3*kd_2*kq_2/2)/(4*(1/Lelastisch_2))*EXP(-(1/Lelastisch_2)*ABS(M8-$D$31)*10^3)*(COS(ABS(M8-$D$31)*10^3/Lelastisch_2)-SIN(ABS(M8-$D$31)*10^3/Lelastisch_2)))*10^-6</f>
        <v>2.949610371425747E-7</v>
      </c>
      <c r="Q8" s="39">
        <f>O8/WSchiene_1*10^6</f>
        <v>7.2728873390063097E-7</v>
      </c>
      <c r="R8" s="40">
        <f>(O8/WSchiene_2)*10^6*(1+3*Faktor_Oberbauzustand_2*fPersonenzüge_2)</f>
        <v>9.5695886039556709E-7</v>
      </c>
      <c r="S8" s="40">
        <f>(O8/WSchiene_2)*10^6*(1+3*Faktor_Oberbauzustand_2*fGüterzüge_2)</f>
        <v>9.4547535407082027E-7</v>
      </c>
      <c r="T8" s="40" t="e">
        <f>IF(N8=MAX($N$8:$N$338),N8,#N/A)</f>
        <v>#N/A</v>
      </c>
      <c r="U8" s="39">
        <f>ktot_2*N8</f>
        <v>1.7347710768825371E-7</v>
      </c>
      <c r="V8" s="139">
        <f t="shared" ref="V8:V39" si="0">MAX($U$8:$U$338)</f>
        <v>28.788060189811855</v>
      </c>
    </row>
    <row r="9" spans="1:22">
      <c r="A9" s="47" t="s">
        <v>25</v>
      </c>
      <c r="B9" s="237">
        <v>16</v>
      </c>
      <c r="C9" s="250">
        <f>B9*10</f>
        <v>160</v>
      </c>
      <c r="D9" s="251"/>
      <c r="E9" s="252"/>
      <c r="F9" s="8"/>
      <c r="G9" s="26" t="s">
        <v>161</v>
      </c>
      <c r="H9" s="36"/>
      <c r="I9" s="237" t="s">
        <v>162</v>
      </c>
      <c r="J9" s="249" t="s">
        <v>163</v>
      </c>
      <c r="K9" s="29"/>
      <c r="L9" s="30"/>
      <c r="M9" s="38">
        <f>MIN(M8+Dx,LSchiene)</f>
        <v>0.1</v>
      </c>
      <c r="N9" s="39">
        <f t="shared" ref="N9:N71" si="1">(1/(ESchiene_1*ISchiene_1))*((Achslast_2_2*10^3/2)/(8*(1/Lelastisch_1)^3)*EXP(-(1/Lelastisch_1)*ABS(M9-$D$32)*10^3)*(COS(ABS(M9-$D$32)*10^3/Lelastisch_1)+SIN(ABS(M9-$D$32)*10^3/Lelastisch_1))+(Achslast_1_2*10^3/2)/(8*(1/Lelastisch_1)^3)*EXP(-(1/Lelastisch_1)*ABS(M9-$D$31)*10^3)*(COS(ABS(M9-$D$31)*10^3/Lelastisch_1)+SIN(ABS(M9-$D$31)*10^3/Lelastisch_1)))</f>
        <v>7.6088841571087728E-9</v>
      </c>
      <c r="O9" s="39">
        <f t="shared" ref="O9:O71" si="2">((Achslast_2_2*10^3/2)/(4*(1/Lelastisch_2))*EXP(-(1/Lelastisch_2)*ABS(M9-$D$32)*10^3)*(COS(ABS(M9-$D$32)*10^3/Lelastisch_2)-SIN(ABS(M9-$D$32)*10^3/Lelastisch_2))+(Achslast_1_2*10^3/2)/(4*(1/Lelastisch_2))*EXP(-(1/Lelastisch_2)*ABS(M9-$D$31)*10^3)*(COS(ABS(M9-$D$31)*10^3/Lelastisch_2)-SIN(ABS(M9-$D$31)*10^3/Lelastisch_2)))*10^-6</f>
        <v>1.8994573440733808E-7</v>
      </c>
      <c r="P9" s="39">
        <f t="shared" ref="P9:P71" si="3">((Achslast_2_2*10^3*kd_2*kq_2/2)/(4*(1/Lelastisch_2))*EXP(-(1/Lelastisch_2)*ABS(M9-$D$32)*10^3)*(COS(ABS(M9-$D$32)*10^3/Lelastisch_2)-SIN(ABS(M9-$D$32)*10^3/Lelastisch_2))+(Achslast_1_2*10^3*kd_2*kq_2/2)/(4*(1/Lelastisch_2))*EXP(-(1/Lelastisch_2)*ABS(M9-$D$31)*10^3)*(COS(ABS(M9-$D$31)*10^3/Lelastisch_2)-SIN(ABS(M9-$D$31)*10^3/Lelastisch_2)))*10^-6</f>
        <v>3.5614825201375887E-7</v>
      </c>
      <c r="Q9" s="39">
        <f t="shared" ref="Q9:Q71" si="4">O9/WSchiene_1*10^6</f>
        <v>8.7815873512407798E-7</v>
      </c>
      <c r="R9" s="40" cm="1">
        <f t="array" ref="R9">(O9/WSchiene_2)*10^6*(1+3*Faktor_Oberbauzustand_2*fPersonenzüge_2)</f>
        <v>1.1554720199001028E-6</v>
      </c>
      <c r="S9" s="40" cm="1">
        <f t="array" ref="S9">(O9/WSchiene_2)*10^6*(1+3*Faktor_Oberbauzustand_2*fGüterzüge_2)</f>
        <v>1.1416063556613014E-6</v>
      </c>
      <c r="T9" s="40" t="e">
        <f>IF(N9=MAX($N$8:$N$338),N9,#N/A)</f>
        <v>#N/A</v>
      </c>
      <c r="U9" s="39" cm="1">
        <f t="array" ref="U9">ktot_2*N9</f>
        <v>1.532713809116385E-7</v>
      </c>
      <c r="V9" s="139">
        <f t="shared" si="0"/>
        <v>28.788060189811855</v>
      </c>
    </row>
    <row r="10" spans="1:22" ht="15.5">
      <c r="A10" s="42" t="s">
        <v>32</v>
      </c>
      <c r="B10" s="237">
        <v>16</v>
      </c>
      <c r="C10" s="43">
        <f t="shared" ref="C10" si="5">B10*10</f>
        <v>160</v>
      </c>
      <c r="D10" s="44" t="s">
        <v>33</v>
      </c>
      <c r="E10" s="253">
        <v>2.2999999999999998</v>
      </c>
      <c r="F10" s="8"/>
      <c r="G10" s="26" t="s">
        <v>37</v>
      </c>
      <c r="H10" s="27" t="s">
        <v>38</v>
      </c>
      <c r="I10" s="74">
        <f>VLOOKUP(I9,Komponenten!A37:B42,2,FALSE)</f>
        <v>0</v>
      </c>
      <c r="J10" s="241" t="s">
        <v>39</v>
      </c>
      <c r="K10" s="29"/>
      <c r="L10" s="30"/>
      <c r="M10" s="38">
        <f t="shared" ref="M10:M72" si="6">MIN(M9+Dx,LSchiene)</f>
        <v>0.2</v>
      </c>
      <c r="N10" s="39">
        <f t="shared" si="1"/>
        <v>6.0506510467434655E-9</v>
      </c>
      <c r="O10" s="39">
        <f t="shared" si="2"/>
        <v>2.2511791725978536E-7</v>
      </c>
      <c r="P10" s="39">
        <f t="shared" si="3"/>
        <v>4.2209609486209745E-7</v>
      </c>
      <c r="Q10" s="39">
        <f t="shared" si="4"/>
        <v>1.0407670700868487E-6</v>
      </c>
      <c r="R10" s="40" cm="1">
        <f t="array" ref="R10">(O10/WSchiene_2)*10^6*(1+3*Faktor_Oberbauzustand_2*fPersonenzüge_2)</f>
        <v>1.3694303553774324E-6</v>
      </c>
      <c r="S10" s="40" cm="1">
        <f t="array" ref="S10">(O10/WSchiene_2)*10^6*(1+3*Faktor_Oberbauzustand_2*fGüterzüge_2)</f>
        <v>1.3529971911129032E-6</v>
      </c>
      <c r="T10" s="40" t="e">
        <f>IF(N10=MAX($N$8:$N$338),N10,#N/A)</f>
        <v>#N/A</v>
      </c>
      <c r="U10" s="39" cm="1">
        <f t="array" ref="U10">ktot_2*N10</f>
        <v>1.2188273894042469E-7</v>
      </c>
      <c r="V10" s="139">
        <f t="shared" si="0"/>
        <v>28.788060189811855</v>
      </c>
    </row>
    <row r="11" spans="1:22" ht="15.5">
      <c r="A11" s="45" t="s">
        <v>45</v>
      </c>
      <c r="B11" s="46"/>
      <c r="C11" s="46"/>
      <c r="D11" s="46"/>
      <c r="E11" s="163"/>
      <c r="F11" s="8"/>
      <c r="G11" s="26" t="s">
        <v>42</v>
      </c>
      <c r="H11" s="27" t="s">
        <v>43</v>
      </c>
      <c r="I11" s="61">
        <f>ASchwelle_2</f>
        <v>0.24440000000000001</v>
      </c>
      <c r="J11" s="41" t="s">
        <v>44</v>
      </c>
      <c r="K11" s="29"/>
      <c r="L11" s="30"/>
      <c r="M11" s="38">
        <f>MIN(M10+Dx,LSchiene)</f>
        <v>0.30000000000000004</v>
      </c>
      <c r="N11" s="39">
        <f t="shared" si="1"/>
        <v>3.8347064129445469E-9</v>
      </c>
      <c r="O11" s="39">
        <f t="shared" si="2"/>
        <v>2.6230308628228451E-7</v>
      </c>
      <c r="P11" s="39">
        <f t="shared" si="3"/>
        <v>4.9181828677928349E-7</v>
      </c>
      <c r="Q11" s="39">
        <f t="shared" si="4"/>
        <v>1.2126818598348799E-6</v>
      </c>
      <c r="R11" s="40" cm="1">
        <f t="array" ref="R11">(O11/WSchiene_2)*10^6*(1+3*Faktor_Oberbauzustand_2*fPersonenzüge_2)</f>
        <v>1.5956340260985262E-6</v>
      </c>
      <c r="S11" s="40" cm="1">
        <f t="array" ref="S11">(O11/WSchiene_2)*10^6*(1+3*Faktor_Oberbauzustand_2*fGüterzüge_2)</f>
        <v>1.576486417785344E-6</v>
      </c>
      <c r="T11" s="40" t="e">
        <f>IF(N11=MAX($N$8:$N$338),N11,#N/A)</f>
        <v>#N/A</v>
      </c>
      <c r="U11" s="39" cm="1">
        <f t="array" ref="U11">ktot_2*N11</f>
        <v>7.7245327326163466E-8</v>
      </c>
      <c r="V11" s="139">
        <f t="shared" si="0"/>
        <v>28.788060189811855</v>
      </c>
    </row>
    <row r="12" spans="1:22" ht="15.5">
      <c r="A12" s="47" t="s">
        <v>48</v>
      </c>
      <c r="B12" s="236" t="s">
        <v>49</v>
      </c>
      <c r="C12" s="247" t="s">
        <v>163</v>
      </c>
      <c r="D12" s="48"/>
      <c r="E12" s="46"/>
      <c r="F12" s="8"/>
      <c r="G12" s="26" t="s">
        <v>26</v>
      </c>
      <c r="H12" s="27" t="s">
        <v>46</v>
      </c>
      <c r="I12" s="258">
        <f>c_Besohlung_2*A_Besohlung_2*10^3</f>
        <v>0</v>
      </c>
      <c r="J12" s="41" t="s">
        <v>47</v>
      </c>
      <c r="K12" s="29"/>
      <c r="L12" s="30"/>
      <c r="M12" s="38"/>
      <c r="N12" s="39">
        <f t="shared" si="1"/>
        <v>8.6119614011383649E-9</v>
      </c>
      <c r="O12" s="39">
        <f t="shared" si="2"/>
        <v>1.5731255314270649E-7</v>
      </c>
      <c r="P12" s="39">
        <f t="shared" si="3"/>
        <v>2.949610371425747E-7</v>
      </c>
      <c r="Q12" s="39">
        <f t="shared" si="4"/>
        <v>7.2728873390063097E-7</v>
      </c>
      <c r="R12" s="40" cm="1">
        <f t="array" ref="R12">(O12/WSchiene_2)*10^6*(1+3*Faktor_Oberbauzustand_2*fPersonenzüge_2)</f>
        <v>9.5695886039556709E-7</v>
      </c>
      <c r="S12" s="40" cm="1">
        <f t="array" ref="S12">(O12/WSchiene_2)*10^6*(1+3*Faktor_Oberbauzustand_2*fGüterzüge_2)</f>
        <v>9.4547535407082027E-7</v>
      </c>
      <c r="T12" s="40"/>
      <c r="U12" s="39" cm="1">
        <f t="array" ref="U12">ktot_2*N12</f>
        <v>1.7347710768825371E-7</v>
      </c>
      <c r="V12" s="139">
        <f t="shared" si="0"/>
        <v>28.788060189811855</v>
      </c>
    </row>
    <row r="13" spans="1:22" ht="15.5">
      <c r="A13" s="32" t="s">
        <v>51</v>
      </c>
      <c r="B13" s="234" t="s">
        <v>52</v>
      </c>
      <c r="C13" s="187">
        <v>210000</v>
      </c>
      <c r="D13" s="41" t="s">
        <v>53</v>
      </c>
      <c r="E13" s="162">
        <f>IF(OR(B12="46E1",B12="54E2",B12="60E1"),1,0)</f>
        <v>1</v>
      </c>
      <c r="F13" s="8"/>
      <c r="G13" s="35" t="s">
        <v>50</v>
      </c>
      <c r="H13" s="36"/>
      <c r="I13" s="37"/>
      <c r="J13" s="28"/>
      <c r="K13" s="29"/>
      <c r="L13" s="30"/>
      <c r="M13" s="38">
        <f>MIN(M11+Dx,LSchiene)</f>
        <v>0.4</v>
      </c>
      <c r="N13" s="39">
        <f t="shared" si="1"/>
        <v>8.526715355006422E-10</v>
      </c>
      <c r="O13" s="39">
        <f t="shared" si="2"/>
        <v>3.0075424941328611E-7</v>
      </c>
      <c r="P13" s="39">
        <f t="shared" si="3"/>
        <v>5.6391421764991136E-7</v>
      </c>
      <c r="Q13" s="39">
        <f t="shared" si="4"/>
        <v>1.3904496043147763E-6</v>
      </c>
      <c r="R13" s="40" cm="1">
        <f t="array" ref="R13">(O13/WSchiene_2)*10^6*(1+3*Faktor_Oberbauzustand_2*fPersonenzüge_2)</f>
        <v>1.8295389530457584E-6</v>
      </c>
      <c r="S13" s="40" cm="1">
        <f t="array" ref="S13">(O13/WSchiene_2)*10^6*(1+3*Faktor_Oberbauzustand_2*fGüterzüge_2)</f>
        <v>1.8075844856092092E-6</v>
      </c>
      <c r="T13" s="40" t="e">
        <f>IF(N13=MAX($N$8:$N$338),N13,#N/A)</f>
        <v>#N/A</v>
      </c>
      <c r="U13" s="39" cm="1">
        <f t="array" ref="U13">ktot_2*N13</f>
        <v>1.717599335352351E-8</v>
      </c>
      <c r="V13" s="139">
        <f t="shared" si="0"/>
        <v>28.788060189811855</v>
      </c>
    </row>
    <row r="14" spans="1:22" ht="15.5">
      <c r="A14" s="32" t="s">
        <v>55</v>
      </c>
      <c r="B14" s="50" t="s">
        <v>56</v>
      </c>
      <c r="C14" s="187">
        <f>IF(B12="VST-C",Komponenten!D3,IF(B12="36E3",Komponenten!D4,IF(B12="41E1",Komponenten!D5,IF(B12="46E1",Komponenten!D6,IF(B12="49E1",Komponenten!D7,IF(B12="54E1",Komponenten!D8,IF(B12="54E2",Komponenten!D9,)))))))</f>
        <v>16311000</v>
      </c>
      <c r="D14" s="41" t="s">
        <v>57</v>
      </c>
      <c r="E14" s="51"/>
      <c r="F14" s="8"/>
      <c r="G14" s="26" t="s">
        <v>164</v>
      </c>
      <c r="H14" s="53" t="s">
        <v>165</v>
      </c>
      <c r="I14" s="37">
        <v>76</v>
      </c>
      <c r="J14" s="41" t="s">
        <v>53</v>
      </c>
      <c r="K14" s="162">
        <f>IF(cSchotter&gt;0,1,0)</f>
        <v>1</v>
      </c>
      <c r="L14" s="5"/>
      <c r="M14" s="38">
        <f t="shared" si="6"/>
        <v>0.5</v>
      </c>
      <c r="N14" s="39">
        <f t="shared" si="1"/>
        <v>-3.0074657213114933E-9</v>
      </c>
      <c r="O14" s="39">
        <f t="shared" si="2"/>
        <v>3.3946711318109677E-7</v>
      </c>
      <c r="P14" s="39">
        <f t="shared" si="3"/>
        <v>6.3650083721455644E-7</v>
      </c>
      <c r="Q14" s="39">
        <f t="shared" si="4"/>
        <v>1.5694272454049781E-6</v>
      </c>
      <c r="R14" s="40" cm="1">
        <f t="array" ref="R14">(O14/WSchiene_2)*10^6*(1+3*Faktor_Oberbauzustand_2*fPersonenzüge_2)</f>
        <v>2.0650358492170768E-6</v>
      </c>
      <c r="S14" s="40" cm="1">
        <f t="array" ref="S14">(O14/WSchiene_2)*10^6*(1+3*Faktor_Oberbauzustand_2*fGüterzüge_2)</f>
        <v>2.0402554190264714E-6</v>
      </c>
      <c r="T14" s="40" t="e">
        <f>IF(N14=MAX($N$8:$N$338),N14,#N/A)</f>
        <v>#N/A</v>
      </c>
      <c r="U14" s="39" cm="1">
        <f t="array" ref="U14">ktot_2*N14</f>
        <v>-6.058160626866275E-8</v>
      </c>
      <c r="V14" s="139">
        <f t="shared" si="0"/>
        <v>28.788060189811855</v>
      </c>
    </row>
    <row r="15" spans="1:22" ht="15.5">
      <c r="A15" s="42" t="s">
        <v>59</v>
      </c>
      <c r="B15" s="259" t="s">
        <v>60</v>
      </c>
      <c r="C15" s="188">
        <f>IF(B12="VST-C",Komponenten!B3,IF(B12="36E3",Komponenten!B4,IF(B12="41E1",Komponenten!B5,IF(B12="46E1",Komponenten!B6,IF(B12="49E1",Komponenten!B7,IF(B12="54E1",Komponenten!B8,IF(B12="54E2",Komponenten!B9,)))))))</f>
        <v>216300</v>
      </c>
      <c r="D15" s="55" t="s">
        <v>61</v>
      </c>
      <c r="E15" s="52"/>
      <c r="F15" s="8"/>
      <c r="G15" s="26" t="s">
        <v>80</v>
      </c>
      <c r="H15" s="53" t="s">
        <v>58</v>
      </c>
      <c r="I15" s="61">
        <f>ASchwelle_2</f>
        <v>0.24440000000000001</v>
      </c>
      <c r="J15" s="41" t="s">
        <v>44</v>
      </c>
      <c r="K15" s="29"/>
      <c r="L15" s="5"/>
      <c r="M15" s="38">
        <f t="shared" si="6"/>
        <v>0.6</v>
      </c>
      <c r="N15" s="39">
        <f t="shared" si="1"/>
        <v>-7.8584097893956636E-9</v>
      </c>
      <c r="O15" s="39">
        <f t="shared" si="2"/>
        <v>3.7714255911386189E-7</v>
      </c>
      <c r="P15" s="39">
        <f t="shared" si="3"/>
        <v>7.0714229833849108E-7</v>
      </c>
      <c r="Q15" s="39">
        <f t="shared" si="4"/>
        <v>1.7436086875351914E-6</v>
      </c>
      <c r="R15" s="40" cm="1">
        <f t="array" ref="R15">(O15/WSchiene_2)*10^6*(1+3*Faktor_Oberbauzustand_2*fPersonenzüge_2)</f>
        <v>2.2942219572831469E-6</v>
      </c>
      <c r="S15" s="40" cm="1">
        <f t="array" ref="S15">(O15/WSchiene_2)*10^6*(1+3*Faktor_Oberbauzustand_2*fGüterzüge_2)</f>
        <v>2.2666912937957488E-6</v>
      </c>
      <c r="T15" s="40" t="e">
        <f>IF(N15=MAX($N$8:$N$338),N15,#N/A)</f>
        <v>#N/A</v>
      </c>
      <c r="U15" s="39" cm="1">
        <f t="array" ref="U15">ktot_2*N15</f>
        <v>-1.5829776026553234E-7</v>
      </c>
      <c r="V15" s="139">
        <f t="shared" si="0"/>
        <v>28.788060189811855</v>
      </c>
    </row>
    <row r="16" spans="1:22" ht="15.5">
      <c r="A16" s="45" t="s">
        <v>63</v>
      </c>
      <c r="B16" s="46"/>
      <c r="C16" s="56"/>
      <c r="D16" s="56"/>
      <c r="E16" s="52"/>
      <c r="F16" s="8"/>
      <c r="G16" s="26" t="s">
        <v>26</v>
      </c>
      <c r="H16" s="27" t="s">
        <v>62</v>
      </c>
      <c r="I16" s="258">
        <f>(cSchotter_2/d_Schotter_2)*A_Schotter_2</f>
        <v>61.914666666666669</v>
      </c>
      <c r="J16" s="41" t="s">
        <v>47</v>
      </c>
      <c r="K16" s="29"/>
      <c r="L16" s="5"/>
      <c r="M16" s="38">
        <f t="shared" si="6"/>
        <v>0.7</v>
      </c>
      <c r="N16" s="39">
        <f t="shared" si="1"/>
        <v>-1.3809755498287257E-8</v>
      </c>
      <c r="O16" s="39">
        <f t="shared" si="2"/>
        <v>4.1214891180715994E-7</v>
      </c>
      <c r="P16" s="39">
        <f t="shared" si="3"/>
        <v>7.7277920963842494E-7</v>
      </c>
      <c r="Q16" s="39">
        <f t="shared" si="4"/>
        <v>1.9054503550955153E-6</v>
      </c>
      <c r="R16" s="40" cm="1">
        <f t="array" ref="R16">(O16/WSchiene_2)*10^6*(1+3*Faktor_Oberbauzustand_2*fPersonenzüge_2)</f>
        <v>2.5071715198625201E-6</v>
      </c>
      <c r="S16" s="40" cm="1">
        <f t="array" ref="S16">(O16/WSchiene_2)*10^6*(1+3*Faktor_Oberbauzustand_2*fGüterzüge_2)</f>
        <v>2.4770854616241697E-6</v>
      </c>
      <c r="T16" s="40" t="e">
        <f>IF(N16=MAX($N$8:$N$338),N16,#N/A)</f>
        <v>#N/A</v>
      </c>
      <c r="U16" s="39" cm="1">
        <f t="array" ref="U16">ktot_2*N16</f>
        <v>-2.7818011834193336E-7</v>
      </c>
      <c r="V16" s="139">
        <f t="shared" si="0"/>
        <v>28.788060189811855</v>
      </c>
    </row>
    <row r="17" spans="1:22" ht="15.5">
      <c r="A17" s="47" t="s">
        <v>67</v>
      </c>
      <c r="B17" s="236" t="s">
        <v>166</v>
      </c>
      <c r="C17" s="248" t="s">
        <v>163</v>
      </c>
      <c r="D17" s="48"/>
      <c r="E17" s="46"/>
      <c r="F17" s="8"/>
      <c r="G17" s="26" t="s">
        <v>64</v>
      </c>
      <c r="H17" s="53" t="s">
        <v>65</v>
      </c>
      <c r="I17" s="153">
        <v>0.3</v>
      </c>
      <c r="J17" s="41" t="s">
        <v>66</v>
      </c>
      <c r="K17" s="29"/>
      <c r="L17" s="5"/>
      <c r="M17" s="38"/>
      <c r="N17" s="39">
        <f t="shared" si="1"/>
        <v>8.6119614011383649E-9</v>
      </c>
      <c r="O17" s="39">
        <f t="shared" si="2"/>
        <v>1.5731255314270649E-7</v>
      </c>
      <c r="P17" s="39">
        <f t="shared" si="3"/>
        <v>2.949610371425747E-7</v>
      </c>
      <c r="Q17" s="39">
        <f t="shared" si="4"/>
        <v>7.2728873390063097E-7</v>
      </c>
      <c r="R17" s="40" cm="1">
        <f t="array" ref="R17">(O17/WSchiene_2)*10^6*(1+3*Faktor_Oberbauzustand_2*fPersonenzüge_2)</f>
        <v>9.5695886039556709E-7</v>
      </c>
      <c r="S17" s="40" cm="1">
        <f t="array" ref="S17">(O17/WSchiene_2)*10^6*(1+3*Faktor_Oberbauzustand_2*fGüterzüge_2)</f>
        <v>9.4547535407082027E-7</v>
      </c>
      <c r="T17" s="40"/>
      <c r="U17" s="39" cm="1">
        <f t="array" ref="U17">ktot_2*N17</f>
        <v>1.7347710768825371E-7</v>
      </c>
      <c r="V17" s="139">
        <f t="shared" si="0"/>
        <v>28.788060189811855</v>
      </c>
    </row>
    <row r="18" spans="1:22" ht="15.5">
      <c r="A18" s="32" t="s">
        <v>167</v>
      </c>
      <c r="B18" s="342" t="str">
        <f>VLOOKUP(B17,Komponenten!A13:M24,13,FALSE)</f>
        <v>36E3, 46E1, 49E1</v>
      </c>
      <c r="C18" s="343"/>
      <c r="D18" s="344"/>
      <c r="E18" s="162">
        <f>IF(OR(B17="B91",B17="B06",B17="HD",B17="Holz",B17="Stahl",,B17="Y-Stahl"),1,0)</f>
        <v>0</v>
      </c>
      <c r="F18" s="8"/>
      <c r="G18" s="26" t="s">
        <v>69</v>
      </c>
      <c r="H18" s="53" t="s">
        <v>70</v>
      </c>
      <c r="I18" s="37">
        <v>75</v>
      </c>
      <c r="J18" s="41" t="s">
        <v>71</v>
      </c>
      <c r="K18" s="29"/>
      <c r="L18" s="5"/>
      <c r="M18" s="38">
        <f>MIN(M16+Dx,LSchiene)</f>
        <v>0.79999999999999993</v>
      </c>
      <c r="N18" s="39">
        <f t="shared" si="1"/>
        <v>-2.0963215551965023E-8</v>
      </c>
      <c r="O18" s="39">
        <f t="shared" si="2"/>
        <v>4.4248527813512257E-7</v>
      </c>
      <c r="P18" s="39">
        <f t="shared" si="3"/>
        <v>8.2965989650335491E-7</v>
      </c>
      <c r="Q18" s="39">
        <f t="shared" si="4"/>
        <v>2.0457017019654302E-6</v>
      </c>
      <c r="R18" s="40" cm="1">
        <f t="array" ref="R18">(O18/WSchiene_2)*10^6*(1+3*Faktor_Oberbauzustand_2*fPersonenzüge_2)</f>
        <v>2.6917127657439872E-6</v>
      </c>
      <c r="S18" s="40" cm="1">
        <f t="array" ref="S18">(O18/WSchiene_2)*10^6*(1+3*Faktor_Oberbauzustand_2*fGüterzüge_2)</f>
        <v>2.6594122125550596E-6</v>
      </c>
      <c r="T18" s="40" t="e">
        <f t="shared" ref="T18:T49" si="7">IF(N18=MAX($N$8:$N$338),N18,#N/A)</f>
        <v>#N/A</v>
      </c>
      <c r="U18" s="39" cm="1">
        <f t="array" ref="U18">ktot_2*N18</f>
        <v>-4.222775547182092E-7</v>
      </c>
      <c r="V18" s="139">
        <f t="shared" si="0"/>
        <v>28.788060189811855</v>
      </c>
    </row>
    <row r="19" spans="1:22">
      <c r="A19" s="32" t="s">
        <v>168</v>
      </c>
      <c r="B19" s="345" t="str">
        <f>VLOOKUP(B17,Komponenten!A13:N24,14,FALSE)</f>
        <v>keine Angabe</v>
      </c>
      <c r="C19" s="346"/>
      <c r="D19" s="41" t="s">
        <v>13</v>
      </c>
      <c r="E19" s="52"/>
      <c r="F19" s="8"/>
      <c r="G19" s="35" t="s">
        <v>74</v>
      </c>
      <c r="H19" s="36"/>
      <c r="I19" s="37"/>
      <c r="J19" s="28"/>
      <c r="K19" s="29"/>
      <c r="L19" s="5"/>
      <c r="M19" s="38">
        <f t="shared" si="6"/>
        <v>0.89999999999999991</v>
      </c>
      <c r="N19" s="39">
        <f t="shared" si="1"/>
        <v>-2.9406770742012892E-8</v>
      </c>
      <c r="O19" s="39">
        <f t="shared" si="2"/>
        <v>4.6574756286958901E-7</v>
      </c>
      <c r="P19" s="39">
        <f t="shared" si="3"/>
        <v>8.7327668038047933E-7</v>
      </c>
      <c r="Q19" s="39">
        <f t="shared" si="4"/>
        <v>2.1532480946351779E-6</v>
      </c>
      <c r="R19" s="40" cm="1">
        <f t="array" ref="R19">(O19/WSchiene_2)*10^6*(1+3*Faktor_Oberbauzustand_2*fPersonenzüge_2)</f>
        <v>2.8332211771515502E-6</v>
      </c>
      <c r="S19" s="40" cm="1">
        <f t="array" ref="S19">(O19/WSchiene_2)*10^6*(1+3*Faktor_Oberbauzustand_2*fGüterzüge_2)</f>
        <v>2.7992225230257315E-6</v>
      </c>
      <c r="T19" s="40" t="e">
        <f t="shared" si="7"/>
        <v>#N/A</v>
      </c>
      <c r="U19" s="39" cm="1">
        <f t="array" ref="U19">ktot_2*N19</f>
        <v>-5.9236233154756538E-7</v>
      </c>
      <c r="V19" s="139">
        <f t="shared" si="0"/>
        <v>28.788060189811855</v>
      </c>
    </row>
    <row r="20" spans="1:22" ht="15.5">
      <c r="A20" s="32" t="s">
        <v>72</v>
      </c>
      <c r="B20" s="235" t="s">
        <v>73</v>
      </c>
      <c r="C20" s="205">
        <f>VLOOKUP(B17,Komponenten!A13:B24,2,FALSE)/1000</f>
        <v>2</v>
      </c>
      <c r="D20" s="41" t="s">
        <v>15</v>
      </c>
      <c r="E20" s="52"/>
      <c r="F20" s="8"/>
      <c r="G20" s="26" t="s">
        <v>169</v>
      </c>
      <c r="H20" s="53"/>
      <c r="I20" s="237" t="s">
        <v>162</v>
      </c>
      <c r="J20" s="249" t="s">
        <v>163</v>
      </c>
      <c r="K20" s="29"/>
      <c r="L20" s="5"/>
      <c r="M20" s="38">
        <f t="shared" si="6"/>
        <v>0.99999999999999989</v>
      </c>
      <c r="N20" s="39">
        <f t="shared" si="1"/>
        <v>-3.920764415971707E-8</v>
      </c>
      <c r="O20" s="39">
        <f t="shared" si="2"/>
        <v>4.7909912742073069E-7</v>
      </c>
      <c r="P20" s="39">
        <f t="shared" si="3"/>
        <v>8.9831086391387016E-7</v>
      </c>
      <c r="Q20" s="39">
        <f t="shared" si="4"/>
        <v>2.2149751614458192E-6</v>
      </c>
      <c r="R20" s="40" cm="1">
        <f t="array" ref="R20">(O20/WSchiene_2)*10^6*(1+3*Faktor_Oberbauzustand_2*fPersonenzüge_2)</f>
        <v>2.9144410019023941E-6</v>
      </c>
      <c r="S20" s="40" cm="1">
        <f t="array" ref="S20">(O20/WSchiene_2)*10^6*(1+3*Faktor_Oberbauzustand_2*fGüterzüge_2)</f>
        <v>2.8794677098795651E-6</v>
      </c>
      <c r="T20" s="40" t="e">
        <f t="shared" si="7"/>
        <v>#N/A</v>
      </c>
      <c r="U20" s="39" cm="1">
        <f t="array" ref="U20">ktot_2*N20</f>
        <v>-7.8978857327424883E-7</v>
      </c>
      <c r="V20" s="139">
        <f t="shared" si="0"/>
        <v>28.788060189811855</v>
      </c>
    </row>
    <row r="21" spans="1:22" ht="14.65" customHeight="1">
      <c r="A21" s="32" t="s">
        <v>75</v>
      </c>
      <c r="B21" s="27" t="s">
        <v>76</v>
      </c>
      <c r="C21" s="61">
        <f>(VLOOKUP(B17,Komponenten!A13:G24,4,FALSE)+VLOOKUP(B17,Komponenten!A13:G24,6,FALSE))/2</f>
        <v>0.26</v>
      </c>
      <c r="D21" s="41" t="s">
        <v>15</v>
      </c>
      <c r="E21" s="52"/>
      <c r="F21" s="8"/>
      <c r="G21" s="26" t="s">
        <v>37</v>
      </c>
      <c r="H21" s="53" t="s">
        <v>77</v>
      </c>
      <c r="I21" s="181">
        <f>VLOOKUP(Schotteroberbau!I20,Komponenten!A46:B52,2,FALSE)</f>
        <v>0</v>
      </c>
      <c r="J21" s="41" t="s">
        <v>39</v>
      </c>
      <c r="K21" s="29"/>
      <c r="L21" s="5"/>
      <c r="M21" s="38">
        <f t="shared" si="6"/>
        <v>1.0999999999999999</v>
      </c>
      <c r="N21" s="39">
        <f t="shared" si="1"/>
        <v>-5.0404014321026669E-8</v>
      </c>
      <c r="O21" s="39">
        <f t="shared" si="2"/>
        <v>4.792484528499909E-7</v>
      </c>
      <c r="P21" s="39">
        <f t="shared" si="3"/>
        <v>8.9859084909373299E-7</v>
      </c>
      <c r="Q21" s="39">
        <f t="shared" si="4"/>
        <v>2.215665524040642E-6</v>
      </c>
      <c r="R21" s="40" cm="1">
        <f t="array" ref="R21">(O21/WSchiene_2)*10^6*(1+3*Faktor_Oberbauzustand_2*fPersonenzüge_2)</f>
        <v>2.915349373737687E-6</v>
      </c>
      <c r="S21" s="40" cm="1">
        <f t="array" ref="S21">(O21/WSchiene_2)*10^6*(1+3*Faktor_Oberbauzustand_2*fGüterzüge_2)</f>
        <v>2.8803651812528349E-6</v>
      </c>
      <c r="T21" s="40" t="e">
        <f t="shared" si="7"/>
        <v>#N/A</v>
      </c>
      <c r="U21" s="39" cm="1">
        <f t="array" ref="U21">ktot_2*N21</f>
        <v>-1.0153253379808711E-6</v>
      </c>
      <c r="V21" s="139">
        <f t="shared" si="0"/>
        <v>28.788060189811855</v>
      </c>
    </row>
    <row r="22" spans="1:22" ht="15.5">
      <c r="A22" s="240" t="s">
        <v>170</v>
      </c>
      <c r="B22" s="53" t="s">
        <v>79</v>
      </c>
      <c r="C22" s="198">
        <f>(LSchwelle_2)-VLOOKUP(B17,Komponenten!A13:K24,11,FALSE)*2</f>
        <v>0.12000000000000011</v>
      </c>
      <c r="D22" s="41" t="s">
        <v>15</v>
      </c>
      <c r="E22" s="52"/>
      <c r="F22" s="8"/>
      <c r="G22" s="26" t="s">
        <v>80</v>
      </c>
      <c r="H22" s="53" t="s">
        <v>81</v>
      </c>
      <c r="I22" s="181">
        <f>MIN((LSchwelle_2-LFrei_2)/2+2*d_Schotter_2/TAN(aLast_2*PI()/180),(LSchwelle_2-LFrei_2)/2+LFrei_2/2+d_Schotter_2/TAN(aLast_2*PI()/180))*MIN(BSchwelle_2+2*d_Schotter_2/TAN(aLast_2*PI()/180),a_2)</f>
        <v>0.45459297101870949</v>
      </c>
      <c r="J22" s="41" t="s">
        <v>171</v>
      </c>
      <c r="K22" s="29"/>
      <c r="L22" s="5"/>
      <c r="M22" s="38">
        <f t="shared" si="6"/>
        <v>1.2</v>
      </c>
      <c r="N22" s="39">
        <f t="shared" si="1"/>
        <v>-6.2995402669836386E-8</v>
      </c>
      <c r="O22" s="39">
        <f t="shared" si="2"/>
        <v>4.6243659111642306E-7</v>
      </c>
      <c r="P22" s="39">
        <f t="shared" si="3"/>
        <v>8.6706860834329332E-7</v>
      </c>
      <c r="Q22" s="39">
        <f t="shared" si="4"/>
        <v>2.1379407818604859E-6</v>
      </c>
      <c r="R22" s="40" cm="1">
        <f t="array" ref="R22">(O22/WSchiene_2)*10^6*(1+3*Faktor_Oberbauzustand_2*fPersonenzüge_2)</f>
        <v>2.8130799761322185E-6</v>
      </c>
      <c r="S22" s="40" cm="1">
        <f t="array" ref="S22">(O22/WSchiene_2)*10^6*(1+3*Faktor_Oberbauzustand_2*fGüterzüge_2)</f>
        <v>2.7793230164186319E-6</v>
      </c>
      <c r="T22" s="40" t="e">
        <f t="shared" si="7"/>
        <v>#N/A</v>
      </c>
      <c r="U22" s="39" cm="1">
        <f t="array" ref="U22">ktot_2*N22</f>
        <v>-1.268962985757875E-6</v>
      </c>
      <c r="V22" s="139">
        <f t="shared" si="0"/>
        <v>28.788060189811855</v>
      </c>
    </row>
    <row r="23" spans="1:22" ht="15.5">
      <c r="A23" s="42" t="s">
        <v>82</v>
      </c>
      <c r="B23" s="59" t="s">
        <v>83</v>
      </c>
      <c r="C23" s="60">
        <f>VLOOKUP(B17,Komponenten!A13:H24,8,FALSE)</f>
        <v>0.24440000000000001</v>
      </c>
      <c r="D23" s="55" t="s">
        <v>44</v>
      </c>
      <c r="E23" s="46"/>
      <c r="F23" s="8"/>
      <c r="G23" s="65" t="s">
        <v>26</v>
      </c>
      <c r="H23" s="66" t="s">
        <v>84</v>
      </c>
      <c r="I23" s="67">
        <f>cUSM_2*AUSM_2*10^3</f>
        <v>0</v>
      </c>
      <c r="J23" s="68" t="s">
        <v>47</v>
      </c>
      <c r="K23" s="29"/>
      <c r="L23" s="5"/>
      <c r="M23" s="38">
        <f t="shared" si="6"/>
        <v>1.3</v>
      </c>
      <c r="N23" s="39">
        <f t="shared" si="1"/>
        <v>-7.6931699609448779E-8</v>
      </c>
      <c r="O23" s="39">
        <f t="shared" si="2"/>
        <v>4.2443763276644686E-7</v>
      </c>
      <c r="P23" s="39">
        <f t="shared" si="3"/>
        <v>7.9582056143708786E-7</v>
      </c>
      <c r="Q23" s="39">
        <f t="shared" si="4"/>
        <v>1.9622636743709979E-6</v>
      </c>
      <c r="R23" s="40" cm="1">
        <f t="array" ref="R23">(O23/WSchiene_2)*10^6*(1+3*Faktor_Oberbauzustand_2*fPersonenzüge_2)</f>
        <v>2.5819258873302605E-6</v>
      </c>
      <c r="S23" s="40" cm="1">
        <f t="array" ref="S23">(O23/WSchiene_2)*10^6*(1+3*Faktor_Oberbauzustand_2*fGüterzüge_2)</f>
        <v>2.5509427766822975E-6</v>
      </c>
      <c r="T23" s="40" t="e">
        <f t="shared" si="7"/>
        <v>#N/A</v>
      </c>
      <c r="U23" s="39" cm="1">
        <f t="array" ref="U23">ktot_2*N23</f>
        <v>-1.5496921219392156E-6</v>
      </c>
      <c r="V23" s="139">
        <f t="shared" si="0"/>
        <v>28.788060189811855</v>
      </c>
    </row>
    <row r="24" spans="1:22">
      <c r="A24" s="45" t="s">
        <v>85</v>
      </c>
      <c r="B24" s="46"/>
      <c r="C24" s="56"/>
      <c r="D24" s="56"/>
      <c r="E24" s="162">
        <f>IF(a&gt;0,1,0)</f>
        <v>1</v>
      </c>
      <c r="F24" s="8"/>
      <c r="G24" s="35" t="s">
        <v>86</v>
      </c>
      <c r="H24" s="69"/>
      <c r="I24" s="36"/>
      <c r="J24" s="70"/>
      <c r="K24" s="162">
        <f>IF(cUntergrund&gt;0,1,0)</f>
        <v>1</v>
      </c>
      <c r="L24" s="5"/>
      <c r="M24" s="38">
        <f t="shared" si="6"/>
        <v>1.4000000000000001</v>
      </c>
      <c r="N24" s="39">
        <f t="shared" si="1"/>
        <v>-9.2100831323934126E-8</v>
      </c>
      <c r="O24" s="39">
        <f t="shared" si="2"/>
        <v>3.6057587529819984E-7</v>
      </c>
      <c r="P24" s="39">
        <f t="shared" si="3"/>
        <v>6.7607976618412469E-7</v>
      </c>
      <c r="Q24" s="39">
        <f t="shared" si="4"/>
        <v>1.6670174539907528E-6</v>
      </c>
      <c r="R24" s="40" cm="1">
        <f t="array" ref="R24">(O24/WSchiene_2)*10^6*(1+3*Faktor_Oberbauzustand_2*fPersonenzüge_2)</f>
        <v>2.1934440184088855E-6</v>
      </c>
      <c r="S24" s="40" cm="1">
        <f t="array" ref="S24">(O24/WSchiene_2)*10^6*(1+3*Faktor_Oberbauzustand_2*fGüterzüge_2)</f>
        <v>2.1671226901879785E-6</v>
      </c>
      <c r="T24" s="40" t="e">
        <f t="shared" si="7"/>
        <v>#N/A</v>
      </c>
      <c r="U24" s="39" cm="1">
        <f t="array" ref="U24">ktot_2*N24</f>
        <v>-1.8552551607637089E-6</v>
      </c>
      <c r="V24" s="139">
        <f t="shared" si="0"/>
        <v>28.788060189811855</v>
      </c>
    </row>
    <row r="25" spans="1:22">
      <c r="A25" s="62" t="s">
        <v>87</v>
      </c>
      <c r="B25" s="63" t="s">
        <v>88</v>
      </c>
      <c r="C25" s="262">
        <f>IF(B17=Komponenten!A22,0.88,VLOOKUP(A6,Komponenten!A31:B32,2,FALSE))</f>
        <v>0.6</v>
      </c>
      <c r="D25" s="64" t="s">
        <v>15</v>
      </c>
      <c r="E25" s="151"/>
      <c r="F25" s="8"/>
      <c r="G25" s="26" t="s">
        <v>172</v>
      </c>
      <c r="H25" s="69"/>
      <c r="I25" s="237" t="s">
        <v>173</v>
      </c>
      <c r="J25" s="249" t="s">
        <v>163</v>
      </c>
      <c r="K25" s="29"/>
      <c r="L25" s="5"/>
      <c r="M25" s="38">
        <f t="shared" si="6"/>
        <v>1.5000000000000002</v>
      </c>
      <c r="N25" s="39">
        <f t="shared" si="1"/>
        <v>-1.0831511851869201E-7</v>
      </c>
      <c r="O25" s="39">
        <f t="shared" si="2"/>
        <v>2.6576383139255222E-7</v>
      </c>
      <c r="P25" s="39">
        <f t="shared" si="3"/>
        <v>4.9830718386103543E-7</v>
      </c>
      <c r="Q25" s="39">
        <f t="shared" si="4"/>
        <v>1.2286816060682024E-6</v>
      </c>
      <c r="R25" s="40" cm="1">
        <f t="array" ref="R25">(O25/WSchiene_2)*10^6*(1+3*Faktor_Oberbauzustand_2*fPersonenzüge_2)</f>
        <v>1.6166863237739507E-6</v>
      </c>
      <c r="S25" s="40" cm="1">
        <f t="array" ref="S25">(O25/WSchiene_2)*10^6*(1+3*Faktor_Oberbauzustand_2*fGüterzüge_2)</f>
        <v>1.5972860878886631E-6</v>
      </c>
      <c r="T25" s="40" t="e">
        <f t="shared" si="7"/>
        <v>#N/A</v>
      </c>
      <c r="U25" s="39" cm="1">
        <f t="array" ref="U25">ktot_2*N25</f>
        <v>-2.1818715393974402E-6</v>
      </c>
      <c r="V25" s="139">
        <f t="shared" si="0"/>
        <v>28.788060189811855</v>
      </c>
    </row>
    <row r="26" spans="1:22" ht="15.5">
      <c r="A26" s="45" t="s">
        <v>90</v>
      </c>
      <c r="B26" s="82"/>
      <c r="C26" s="83"/>
      <c r="D26" s="160"/>
      <c r="E26" s="49"/>
      <c r="F26" s="8"/>
      <c r="G26" s="26" t="s">
        <v>37</v>
      </c>
      <c r="H26" s="53" t="s">
        <v>89</v>
      </c>
      <c r="I26" s="61">
        <f>IF(I25="ja",'Odemark - ja '!B30,'Odemark - nein'!F18)</f>
        <v>0.1</v>
      </c>
      <c r="J26" s="41" t="s">
        <v>39</v>
      </c>
      <c r="K26" s="29"/>
      <c r="L26" s="5"/>
      <c r="M26" s="38">
        <f t="shared" si="6"/>
        <v>1.6000000000000003</v>
      </c>
      <c r="N26" s="39">
        <f t="shared" si="1"/>
        <v>-1.2529643915699064E-7</v>
      </c>
      <c r="O26" s="39">
        <f t="shared" si="2"/>
        <v>1.3456565366019564E-7</v>
      </c>
      <c r="P26" s="39">
        <f t="shared" si="3"/>
        <v>2.5231060061286679E-7</v>
      </c>
      <c r="Q26" s="39">
        <f t="shared" si="4"/>
        <v>6.221250747119539E-7</v>
      </c>
      <c r="R26" s="40" cm="1">
        <f t="array" ref="R26">(O26/WSchiene_2)*10^6*(1+3*Faktor_Oberbauzustand_2*fPersonenzüge_2)</f>
        <v>8.1858562462099208E-7</v>
      </c>
      <c r="S26" s="40" cm="1">
        <f t="array" ref="S26">(O26/WSchiene_2)*10^6*(1+3*Faktor_Oberbauzustand_2*fGüterzüge_2)</f>
        <v>8.0876259712554007E-7</v>
      </c>
      <c r="T26" s="40" t="e">
        <f t="shared" si="7"/>
        <v>#N/A</v>
      </c>
      <c r="U26" s="39" cm="1">
        <f t="array" ref="U26">ktot_2*N26</f>
        <v>-2.5239388399626166E-6</v>
      </c>
      <c r="V26" s="139">
        <f t="shared" si="0"/>
        <v>28.788060189811855</v>
      </c>
    </row>
    <row r="27" spans="1:22" ht="15.5">
      <c r="A27" s="85" t="s">
        <v>174</v>
      </c>
      <c r="B27" s="144" t="s">
        <v>92</v>
      </c>
      <c r="C27" s="145">
        <f>MAX(N8:N318)</f>
        <v>1.4291318691676265</v>
      </c>
      <c r="D27" s="146" t="s">
        <v>93</v>
      </c>
      <c r="E27" s="49"/>
      <c r="F27" s="8"/>
      <c r="G27" s="26" t="s">
        <v>42</v>
      </c>
      <c r="H27" s="53" t="s">
        <v>91</v>
      </c>
      <c r="I27" s="61">
        <f>AUSM_2</f>
        <v>0.45459297101870949</v>
      </c>
      <c r="J27" s="41" t="s">
        <v>44</v>
      </c>
      <c r="K27" s="29"/>
      <c r="L27" s="5"/>
      <c r="M27" s="38">
        <f t="shared" si="6"/>
        <v>1.7000000000000004</v>
      </c>
      <c r="N27" s="39">
        <f t="shared" si="1"/>
        <v>-1.4266038156886266E-7</v>
      </c>
      <c r="O27" s="39">
        <f t="shared" si="2"/>
        <v>-3.8709047989737052E-8</v>
      </c>
      <c r="P27" s="39">
        <f t="shared" si="3"/>
        <v>-7.2579464980756957E-8</v>
      </c>
      <c r="Q27" s="39">
        <f t="shared" si="4"/>
        <v>-1.7895999995255224E-7</v>
      </c>
      <c r="R27" s="40" cm="1">
        <f t="array" ref="R27">(O27/WSchiene_2)*10^6*(1+3*Faktor_Oberbauzustand_2*fPersonenzüge_2)</f>
        <v>-2.3547368414809508E-7</v>
      </c>
      <c r="S27" s="40" cm="1">
        <f t="array" ref="S27">(O27/WSchiene_2)*10^6*(1+3*Faktor_Oberbauzustand_2*fGüterzüge_2)</f>
        <v>-2.3264799993831793E-7</v>
      </c>
      <c r="T27" s="40" t="e">
        <f t="shared" si="7"/>
        <v>#N/A</v>
      </c>
      <c r="U27" s="39" cm="1">
        <f t="array" ref="U27">ktot_2*N27</f>
        <v>-2.8737135738901034E-6</v>
      </c>
      <c r="V27" s="139">
        <f t="shared" si="0"/>
        <v>28.788060189811855</v>
      </c>
    </row>
    <row r="28" spans="1:22" ht="15.5">
      <c r="A28" s="166" t="s">
        <v>96</v>
      </c>
      <c r="B28" s="162"/>
      <c r="C28" s="167"/>
      <c r="D28" s="162"/>
      <c r="E28" s="162"/>
      <c r="F28" s="8"/>
      <c r="G28" s="26" t="s">
        <v>26</v>
      </c>
      <c r="H28" s="27" t="s">
        <v>94</v>
      </c>
      <c r="I28" s="75">
        <f>cUntergrund_2*AUntergrund_2*10^3</f>
        <v>45.459297101870952</v>
      </c>
      <c r="J28" s="41" t="s">
        <v>47</v>
      </c>
      <c r="K28" s="29"/>
      <c r="L28" s="5"/>
      <c r="M28" s="38">
        <f t="shared" si="6"/>
        <v>1.8000000000000005</v>
      </c>
      <c r="N28" s="39">
        <f t="shared" si="1"/>
        <v>-1.5989966312047934E-7</v>
      </c>
      <c r="O28" s="39">
        <f t="shared" si="2"/>
        <v>-2.5987568377598438E-7</v>
      </c>
      <c r="P28" s="39">
        <f t="shared" si="3"/>
        <v>-4.8726690707997071E-7</v>
      </c>
      <c r="Q28" s="39">
        <f t="shared" si="4"/>
        <v>-1.2014594719185593E-6</v>
      </c>
      <c r="R28" s="40" cm="1">
        <f t="array" ref="R28">(O28/WSchiene_2)*10^6*(1+3*Faktor_Oberbauzustand_2*fPersonenzüge_2)</f>
        <v>-1.5808677262086308E-6</v>
      </c>
      <c r="S28" s="40" cm="1">
        <f t="array" ref="S28">(O28/WSchiene_2)*10^6*(1+3*Faktor_Oberbauzustand_2*fGüterzüge_2)</f>
        <v>-1.5618973134941272E-6</v>
      </c>
      <c r="T28" s="40" t="e">
        <f t="shared" si="7"/>
        <v>#N/A</v>
      </c>
      <c r="U28" s="39" cm="1">
        <f t="array" ref="U28">ktot_2*N28</f>
        <v>-3.2209771719135014E-6</v>
      </c>
      <c r="V28" s="139">
        <f t="shared" si="0"/>
        <v>28.788060189811855</v>
      </c>
    </row>
    <row r="29" spans="1:22" ht="15.5">
      <c r="A29" s="168" t="s">
        <v>98</v>
      </c>
      <c r="B29" s="162"/>
      <c r="C29" s="169" t="s">
        <v>99</v>
      </c>
      <c r="D29" s="170">
        <v>32</v>
      </c>
      <c r="E29" s="163" t="s">
        <v>15</v>
      </c>
      <c r="F29" s="8"/>
      <c r="G29" s="72"/>
      <c r="H29" s="73"/>
      <c r="I29" s="74"/>
      <c r="J29" s="28"/>
      <c r="K29" s="10"/>
      <c r="L29" s="5"/>
      <c r="M29" s="38">
        <f t="shared" si="6"/>
        <v>1.9000000000000006</v>
      </c>
      <c r="N29" s="39">
        <f t="shared" si="1"/>
        <v>-1.7636719393120107E-7</v>
      </c>
      <c r="O29" s="39">
        <f t="shared" si="2"/>
        <v>-5.3470390002741126E-7</v>
      </c>
      <c r="P29" s="39">
        <f t="shared" si="3"/>
        <v>-1.0025698125513961E-6</v>
      </c>
      <c r="Q29" s="39">
        <f t="shared" si="4"/>
        <v>-2.4720476191743472E-6</v>
      </c>
      <c r="R29" s="40" cm="1">
        <f t="array" ref="R29">(O29/WSchiene_2)*10^6*(1+3*Faktor_Oberbauzustand_2*fPersonenzüge_2)</f>
        <v>-3.25269423575572E-6</v>
      </c>
      <c r="S29" s="40" cm="1">
        <f t="array" ref="S29">(O29/WSchiene_2)*10^6*(1+3*Faktor_Oberbauzustand_2*fGüterzüge_2)</f>
        <v>-3.2136619049266516E-6</v>
      </c>
      <c r="T29" s="40" t="e">
        <f t="shared" si="7"/>
        <v>#N/A</v>
      </c>
      <c r="U29" s="39" cm="1">
        <f t="array" ref="U29">ktot_2*N29</f>
        <v>-3.5526948239960568E-6</v>
      </c>
      <c r="V29" s="139">
        <f t="shared" si="0"/>
        <v>28.788060189811855</v>
      </c>
    </row>
    <row r="30" spans="1:22" ht="15.5">
      <c r="A30" s="163" t="s">
        <v>101</v>
      </c>
      <c r="B30" s="162"/>
      <c r="C30" s="169" t="s">
        <v>102</v>
      </c>
      <c r="D30" s="171">
        <f>E10</f>
        <v>2.2999999999999998</v>
      </c>
      <c r="E30" s="163" t="s">
        <v>15</v>
      </c>
      <c r="F30" s="8"/>
      <c r="G30" s="72" t="s">
        <v>95</v>
      </c>
      <c r="H30" s="53" t="s">
        <v>97</v>
      </c>
      <c r="I30" s="75">
        <f>1/((IF(k_zw_2=0,0,1/k_zw_2)+(IF(kBesohlung_2=0,0,1/kBesohlung_2)+(IF(kSchotter_2=0,0,1/kSchotter_2)+(IF(kUSM_2=0,0,1/kUSM_2))+(IF(kUntergrund_2=0,0,1/kUntergrund_2))))))</f>
        <v>20.143739574276633</v>
      </c>
      <c r="J30" s="41" t="s">
        <v>47</v>
      </c>
      <c r="K30" s="10"/>
      <c r="L30" s="5"/>
      <c r="M30" s="38">
        <f t="shared" si="6"/>
        <v>2.0000000000000004</v>
      </c>
      <c r="N30" s="39">
        <f t="shared" si="1"/>
        <v>-1.9125928561459647E-7</v>
      </c>
      <c r="O30" s="39">
        <f t="shared" si="2"/>
        <v>-8.6869986168480662E-7</v>
      </c>
      <c r="P30" s="39">
        <f t="shared" si="3"/>
        <v>-1.6288122406590121E-6</v>
      </c>
      <c r="Q30" s="39">
        <f t="shared" si="4"/>
        <v>-4.0161805903134842E-6</v>
      </c>
      <c r="R30" s="40" cm="1">
        <f t="array" ref="R30">(O30/WSchiene_2)*10^6*(1+3*Faktor_Oberbauzustand_2*fPersonenzüge_2)</f>
        <v>-5.284448145149322E-6</v>
      </c>
      <c r="S30" s="40" cm="1">
        <f t="array" ref="S30">(O30/WSchiene_2)*10^6*(1+3*Faktor_Oberbauzustand_2*fGüterzüge_2)</f>
        <v>-5.2210347674075297E-6</v>
      </c>
      <c r="T30" s="40" t="e">
        <f t="shared" si="7"/>
        <v>#N/A</v>
      </c>
      <c r="U30" s="39" cm="1">
        <f t="array" ref="U30">ktot_2*N30</f>
        <v>-3.8526772405826248E-6</v>
      </c>
      <c r="V30" s="139">
        <f t="shared" si="0"/>
        <v>28.788060189811855</v>
      </c>
    </row>
    <row r="31" spans="1:22" ht="15.5">
      <c r="A31" s="163" t="s">
        <v>104</v>
      </c>
      <c r="B31" s="162"/>
      <c r="C31" s="169" t="s">
        <v>105</v>
      </c>
      <c r="D31" s="171">
        <f>(D29-D30)/2</f>
        <v>14.85</v>
      </c>
      <c r="E31" s="163" t="s">
        <v>15</v>
      </c>
      <c r="F31" s="8"/>
      <c r="G31" s="292" t="s">
        <v>100</v>
      </c>
      <c r="H31" s="78" t="s">
        <v>103</v>
      </c>
      <c r="I31" s="79">
        <f>(4*ESchiene_2*ISchiene_2*a_2/ktot_2)^0.25</f>
        <v>799.26860896946789</v>
      </c>
      <c r="J31" s="55" t="s">
        <v>29</v>
      </c>
      <c r="K31" s="161"/>
      <c r="L31" s="5"/>
      <c r="M31" s="38">
        <f t="shared" si="6"/>
        <v>2.1000000000000005</v>
      </c>
      <c r="N31" s="39">
        <f t="shared" si="1"/>
        <v>-2.0359964202720259E-7</v>
      </c>
      <c r="O31" s="39">
        <f t="shared" si="2"/>
        <v>-1.2668359818079198E-6</v>
      </c>
      <c r="P31" s="39">
        <f t="shared" si="3"/>
        <v>-2.3753174658898497E-6</v>
      </c>
      <c r="Q31" s="39">
        <f t="shared" si="4"/>
        <v>-5.8568468876926484E-6</v>
      </c>
      <c r="R31" s="40" cm="1">
        <f t="array" ref="R31">(O31/WSchiene_2)*10^6*(1+3*Faktor_Oberbauzustand_2*fPersonenzüge_2)</f>
        <v>-7.7063774838061172E-6</v>
      </c>
      <c r="S31" s="40" cm="1">
        <f t="array" ref="S31">(O31/WSchiene_2)*10^6*(1+3*Faktor_Oberbauzustand_2*fGüterzüge_2)</f>
        <v>-7.6139009540004429E-6</v>
      </c>
      <c r="T31" s="40" t="e">
        <f t="shared" si="7"/>
        <v>#N/A</v>
      </c>
      <c r="U31" s="39" cm="1">
        <f t="array" ref="U31">ktot_2*N31</f>
        <v>-4.1012581664119165E-6</v>
      </c>
      <c r="V31" s="139">
        <f t="shared" si="0"/>
        <v>28.788060189811855</v>
      </c>
    </row>
    <row r="32" spans="1:22" ht="22.5" customHeight="1">
      <c r="A32" s="163" t="s">
        <v>106</v>
      </c>
      <c r="B32" s="162"/>
      <c r="C32" s="172" t="s">
        <v>107</v>
      </c>
      <c r="D32" s="246">
        <f>D31+E10</f>
        <v>17.149999999999999</v>
      </c>
      <c r="E32" s="163" t="s">
        <v>15</v>
      </c>
      <c r="F32" s="270"/>
      <c r="G32" s="1"/>
      <c r="H32" s="1"/>
      <c r="I32" s="1"/>
      <c r="J32" s="1"/>
      <c r="K32" s="49"/>
      <c r="L32" s="5"/>
      <c r="M32" s="38">
        <f t="shared" si="6"/>
        <v>2.2000000000000006</v>
      </c>
      <c r="N32" s="39">
        <f t="shared" si="1"/>
        <v>-2.1222492236997922E-7</v>
      </c>
      <c r="O32" s="39">
        <f t="shared" si="2"/>
        <v>-1.7332227454078512E-6</v>
      </c>
      <c r="P32" s="39">
        <f t="shared" si="3"/>
        <v>-3.2497926476397207E-6</v>
      </c>
      <c r="Q32" s="39">
        <f t="shared" si="4"/>
        <v>-8.0130501405818358E-6</v>
      </c>
      <c r="R32" s="40" cm="1">
        <f t="array" ref="R32">(O32/WSchiene_2)*10^6*(1+3*Faktor_Oberbauzustand_2*fPersonenzüge_2)</f>
        <v>-1.0543487027081364E-5</v>
      </c>
      <c r="S32" s="40" cm="1">
        <f t="array" ref="S32">(O32/WSchiene_2)*10^6*(1+3*Faktor_Oberbauzustand_2*fGüterzüge_2)</f>
        <v>-1.0416965182756387E-5</v>
      </c>
      <c r="T32" s="40" t="e">
        <f t="shared" si="7"/>
        <v>#N/A</v>
      </c>
      <c r="U32" s="39" cm="1">
        <f t="array" ref="U32">ktot_2*N32</f>
        <v>-4.275003567391937E-6</v>
      </c>
      <c r="V32" s="139">
        <f t="shared" si="0"/>
        <v>28.788060189811855</v>
      </c>
    </row>
    <row r="33" spans="1:22" ht="24.75" customHeight="1">
      <c r="A33" s="290"/>
      <c r="B33" s="266"/>
      <c r="C33" s="291"/>
      <c r="D33" s="290"/>
      <c r="E33" s="290"/>
      <c r="F33" s="266"/>
      <c r="G33" s="266"/>
      <c r="H33" s="266"/>
      <c r="I33" s="266"/>
      <c r="J33" s="266"/>
      <c r="K33" s="49"/>
      <c r="L33" s="5"/>
      <c r="M33" s="38">
        <f t="shared" si="6"/>
        <v>2.3000000000000007</v>
      </c>
      <c r="N33" s="39">
        <f t="shared" si="1"/>
        <v>-2.1577283591092307E-7</v>
      </c>
      <c r="O33" s="39">
        <f t="shared" si="2"/>
        <v>-2.2707178075375208E-6</v>
      </c>
      <c r="P33" s="39">
        <f t="shared" si="3"/>
        <v>-4.2575958891328507E-6</v>
      </c>
      <c r="Q33" s="39">
        <f t="shared" si="4"/>
        <v>-1.0498001884130933E-5</v>
      </c>
      <c r="R33" s="40" cm="1">
        <f t="array" ref="R33">(O33/WSchiene_2)*10^6*(1+3*Faktor_Oberbauzustand_2*fPersonenzüge_2)</f>
        <v>-1.3813160373856493E-5</v>
      </c>
      <c r="S33" s="40" cm="1">
        <f t="array" ref="S33">(O33/WSchiene_2)*10^6*(1+3*Faktor_Oberbauzustand_2*fGüterzüge_2)</f>
        <v>-1.3647402449370214E-5</v>
      </c>
      <c r="T33" s="40" t="e">
        <f t="shared" si="7"/>
        <v>#N/A</v>
      </c>
      <c r="U33" s="39" cm="1">
        <f t="array" ref="U33">ktot_2*N33</f>
        <v>-4.3464718137927593E-6</v>
      </c>
      <c r="V33" s="139">
        <f t="shared" si="0"/>
        <v>28.788060189811855</v>
      </c>
    </row>
    <row r="34" spans="1:22">
      <c r="A34" s="244"/>
      <c r="B34" s="243"/>
      <c r="C34" s="245"/>
      <c r="D34" s="244"/>
      <c r="E34" s="244"/>
      <c r="F34" s="49"/>
      <c r="G34" s="49"/>
      <c r="H34" s="49"/>
      <c r="I34" s="49"/>
      <c r="J34" s="49"/>
      <c r="K34" s="49"/>
      <c r="L34" s="5"/>
      <c r="M34" s="38">
        <f t="shared" si="6"/>
        <v>2.4000000000000008</v>
      </c>
      <c r="N34" s="39">
        <f t="shared" si="1"/>
        <v>-2.1267391051427887E-7</v>
      </c>
      <c r="O34" s="39">
        <f t="shared" si="2"/>
        <v>-2.8804684006325756E-6</v>
      </c>
      <c r="P34" s="39">
        <f t="shared" si="3"/>
        <v>-5.4008782511860781E-6</v>
      </c>
      <c r="Q34" s="39">
        <f t="shared" si="4"/>
        <v>-1.3317006013095586E-5</v>
      </c>
      <c r="R34" s="40" cm="1">
        <f t="array" ref="R34">(O34/WSchiene_2)*10^6*(1+3*Faktor_Oberbauzustand_2*fPersonenzüge_2)</f>
        <v>-1.7522376333020508E-5</v>
      </c>
      <c r="S34" s="40" cm="1">
        <f t="array" ref="S34">(O34/WSchiene_2)*10^6*(1+3*Faktor_Oberbauzustand_2*fGüterzüge_2)</f>
        <v>-1.7312107817024263E-5</v>
      </c>
      <c r="T34" s="40" t="e">
        <f t="shared" si="7"/>
        <v>#N/A</v>
      </c>
      <c r="U34" s="39" cm="1">
        <f t="array" ref="U34">ktot_2*N34</f>
        <v>-4.2840478676426465E-6</v>
      </c>
      <c r="V34" s="139">
        <f t="shared" si="0"/>
        <v>28.788060189811855</v>
      </c>
    </row>
    <row r="35" spans="1:22" ht="15.5">
      <c r="A35" s="339" t="s">
        <v>112</v>
      </c>
      <c r="B35" s="339"/>
      <c r="C35" s="169" t="s">
        <v>113</v>
      </c>
      <c r="D35" s="170">
        <v>0</v>
      </c>
      <c r="E35" s="163" t="s">
        <v>66</v>
      </c>
      <c r="F35" s="162"/>
      <c r="G35" s="162"/>
      <c r="H35" s="49"/>
      <c r="I35" s="49"/>
      <c r="J35" s="49"/>
      <c r="K35" s="49"/>
      <c r="L35" s="5"/>
      <c r="M35" s="38">
        <f t="shared" si="6"/>
        <v>2.5000000000000009</v>
      </c>
      <c r="N35" s="39">
        <f t="shared" si="1"/>
        <v>-2.0114827156109487E-7</v>
      </c>
      <c r="O35" s="39">
        <f t="shared" si="2"/>
        <v>-3.5613843249423108E-6</v>
      </c>
      <c r="P35" s="39">
        <f t="shared" si="3"/>
        <v>-6.677595609266833E-6</v>
      </c>
      <c r="Q35" s="39">
        <f t="shared" si="4"/>
        <v>-1.6465022306714336E-5</v>
      </c>
      <c r="R35" s="40" cm="1">
        <f t="array" ref="R35">(O35/WSchiene_2)*10^6*(1+3*Faktor_Oberbauzustand_2*fPersonenzüge_2)</f>
        <v>-2.1664503035150445E-5</v>
      </c>
      <c r="S35" s="40" cm="1">
        <f t="array" ref="S35">(O35/WSchiene_2)*10^6*(1+3*Faktor_Oberbauzustand_2*fGüterzüge_2)</f>
        <v>-2.1404528998728638E-5</v>
      </c>
      <c r="T35" s="40" t="e">
        <f t="shared" si="7"/>
        <v>#N/A</v>
      </c>
      <c r="U35" s="39" cm="1">
        <f t="array" ref="U35">ktot_2*N35</f>
        <v>-4.0518783981425699E-6</v>
      </c>
      <c r="V35" s="139">
        <f t="shared" si="0"/>
        <v>28.788060189811855</v>
      </c>
    </row>
    <row r="36" spans="1:22">
      <c r="A36" s="339" t="s">
        <v>114</v>
      </c>
      <c r="B36" s="339"/>
      <c r="C36" s="169" t="s">
        <v>115</v>
      </c>
      <c r="D36" s="170">
        <v>0.1</v>
      </c>
      <c r="E36" s="163" t="s">
        <v>15</v>
      </c>
      <c r="F36" s="162"/>
      <c r="G36" s="162"/>
      <c r="H36" s="49"/>
      <c r="I36" s="49"/>
      <c r="J36" s="49"/>
      <c r="K36" s="49"/>
      <c r="L36" s="106"/>
      <c r="M36" s="159">
        <f t="shared" si="6"/>
        <v>2.600000000000001</v>
      </c>
      <c r="N36" s="39">
        <f t="shared" si="1"/>
        <v>-1.7920897009484251E-7</v>
      </c>
      <c r="O36" s="39">
        <f t="shared" si="2"/>
        <v>-4.30954048368901E-6</v>
      </c>
      <c r="P36" s="39">
        <f t="shared" si="3"/>
        <v>-8.0803884069168914E-6</v>
      </c>
      <c r="Q36" s="39">
        <f t="shared" si="4"/>
        <v>-1.9923904224174806E-5</v>
      </c>
      <c r="R36" s="40" cm="1">
        <f t="array" ref="R36">(O36/WSchiene_2)*10^6*(1+3*Faktor_Oberbauzustand_2*fPersonenzüge_2)</f>
        <v>-2.621566345286159E-5</v>
      </c>
      <c r="S36" s="40" cm="1">
        <f t="array" ref="S36">(O36/WSchiene_2)*10^6*(1+3*Faktor_Oberbauzustand_2*fGüterzüge_2)</f>
        <v>-2.5901075491427249E-5</v>
      </c>
      <c r="T36" s="40" t="e">
        <f t="shared" si="7"/>
        <v>#N/A</v>
      </c>
      <c r="U36" s="39" cm="1">
        <f t="array" ref="U36">ktot_2*N36</f>
        <v>-3.609938822964837E-6</v>
      </c>
      <c r="V36" s="139">
        <f t="shared" si="0"/>
        <v>28.788060189811855</v>
      </c>
    </row>
    <row r="37" spans="1:22">
      <c r="A37" s="163"/>
      <c r="B37" s="162"/>
      <c r="C37" s="164"/>
      <c r="D37" s="165"/>
      <c r="E37" s="162"/>
      <c r="F37" s="162"/>
      <c r="G37" s="162"/>
      <c r="H37" s="49"/>
      <c r="I37" s="49"/>
      <c r="J37" s="49"/>
      <c r="K37" s="49"/>
      <c r="L37" s="1"/>
      <c r="M37" s="159">
        <f t="shared" si="6"/>
        <v>2.7000000000000011</v>
      </c>
      <c r="N37" s="39">
        <f t="shared" si="1"/>
        <v>-1.4467360418052274E-7</v>
      </c>
      <c r="O37" s="39">
        <f t="shared" si="2"/>
        <v>-5.1175101291079267E-6</v>
      </c>
      <c r="P37" s="39">
        <f t="shared" si="3"/>
        <v>-9.5953314920773626E-6</v>
      </c>
      <c r="Q37" s="39">
        <f t="shared" si="4"/>
        <v>-2.3659316362033872E-5</v>
      </c>
      <c r="R37" s="40" cm="1">
        <f t="array" ref="R37">(O37/WSchiene_2)*10^6*(1+3*Faktor_Oberbauzustand_2*fPersonenzüge_2)</f>
        <v>-3.113067942372878E-5</v>
      </c>
      <c r="S37" s="40" cm="1">
        <f t="array" ref="S37">(O37/WSchiene_2)*10^6*(1+3*Faktor_Oberbauzustand_2*fGüterzüge_2)</f>
        <v>-3.0757111270644036E-5</v>
      </c>
      <c r="T37" s="40" t="e">
        <f t="shared" si="7"/>
        <v>#N/A</v>
      </c>
      <c r="U37" s="39" cm="1">
        <f t="array" ref="U37">ktot_2*N37</f>
        <v>-2.9142674058844295E-6</v>
      </c>
      <c r="V37" s="139">
        <f t="shared" si="0"/>
        <v>28.788060189811855</v>
      </c>
    </row>
    <row r="38" spans="1:22">
      <c r="A38" s="162"/>
      <c r="B38" s="162"/>
      <c r="C38" s="162"/>
      <c r="D38" s="162"/>
      <c r="E38" s="162"/>
      <c r="F38" s="162"/>
      <c r="G38" s="162"/>
      <c r="H38" s="49"/>
      <c r="I38" s="49"/>
      <c r="J38" s="49"/>
      <c r="K38" s="49"/>
      <c r="L38" s="1"/>
      <c r="M38" s="159">
        <f t="shared" si="6"/>
        <v>2.8000000000000012</v>
      </c>
      <c r="N38" s="39">
        <f t="shared" si="1"/>
        <v>-9.518617907345486E-8</v>
      </c>
      <c r="O38" s="39">
        <f t="shared" si="2"/>
        <v>-5.9736327754435105E-6</v>
      </c>
      <c r="P38" s="39">
        <f t="shared" si="3"/>
        <v>-1.1200561453956582E-5</v>
      </c>
      <c r="Q38" s="39">
        <f t="shared" si="4"/>
        <v>-2.7617349863354186E-5</v>
      </c>
      <c r="R38" s="40" cm="1">
        <f t="array" ref="R38">(O38/WSchiene_2)*10^6*(1+3*Faktor_Oberbauzustand_2*fPersonenzüge_2)</f>
        <v>-3.6338618241255509E-5</v>
      </c>
      <c r="S38" s="40" cm="1">
        <f t="array" ref="S38">(O38/WSchiene_2)*10^6*(1+3*Faktor_Oberbauzustand_2*fGüterzüge_2)</f>
        <v>-3.5902554822360441E-5</v>
      </c>
      <c r="T38" s="40" t="e">
        <f t="shared" si="7"/>
        <v>#N/A</v>
      </c>
      <c r="U38" s="39" cm="1">
        <f t="array" ref="U38">ktot_2*N38</f>
        <v>-1.9174056023261351E-6</v>
      </c>
      <c r="V38" s="139">
        <f t="shared" si="0"/>
        <v>28.788060189811855</v>
      </c>
    </row>
    <row r="39" spans="1:22">
      <c r="A39" s="162"/>
      <c r="B39" s="162"/>
      <c r="C39" s="162"/>
      <c r="D39" s="162"/>
      <c r="E39" s="162"/>
      <c r="F39" s="162"/>
      <c r="G39" s="162"/>
      <c r="H39" s="49"/>
      <c r="I39" s="49"/>
      <c r="J39" s="49"/>
      <c r="K39" s="49"/>
      <c r="L39" s="1"/>
      <c r="M39" s="159">
        <f t="shared" si="6"/>
        <v>2.9000000000000012</v>
      </c>
      <c r="N39" s="39">
        <f t="shared" si="1"/>
        <v>-2.8251341693285008E-8</v>
      </c>
      <c r="O39" s="39">
        <f t="shared" si="2"/>
        <v>-6.8612241777703828E-6</v>
      </c>
      <c r="P39" s="39">
        <f t="shared" si="3"/>
        <v>-1.2864795333319468E-5</v>
      </c>
      <c r="Q39" s="39">
        <f t="shared" si="4"/>
        <v>-3.1720869985068809E-5</v>
      </c>
      <c r="R39" s="40" cm="1">
        <f t="array" ref="R39">(O39/WSchiene_2)*10^6*(1+3*Faktor_Oberbauzustand_2*fPersonenzüge_2)</f>
        <v>-4.1737986822458964E-5</v>
      </c>
      <c r="S39" s="40" cm="1">
        <f t="array" ref="S39">(O39/WSchiene_2)*10^6*(1+3*Faktor_Oberbauzustand_2*fGüterzüge_2)</f>
        <v>-4.1237130980589451E-5</v>
      </c>
      <c r="T39" s="40" t="e">
        <f t="shared" si="7"/>
        <v>#N/A</v>
      </c>
      <c r="U39" s="39" cm="1">
        <f t="array" ref="U39">ktot_2*N39</f>
        <v>-5.6908766969343669E-7</v>
      </c>
      <c r="V39" s="139">
        <f t="shared" si="0"/>
        <v>28.788060189811855</v>
      </c>
    </row>
    <row r="40" spans="1:22">
      <c r="A40" s="162"/>
      <c r="B40" s="162"/>
      <c r="C40" s="162"/>
      <c r="D40" s="162"/>
      <c r="E40" s="162"/>
      <c r="F40" s="162"/>
      <c r="G40" s="162"/>
      <c r="H40" s="49"/>
      <c r="I40" s="49"/>
      <c r="J40" s="49"/>
      <c r="K40" s="49"/>
      <c r="L40" s="1"/>
      <c r="M40" s="38">
        <f t="shared" si="6"/>
        <v>3.0000000000000013</v>
      </c>
      <c r="N40" s="39">
        <f t="shared" si="1"/>
        <v>5.8716706976881941E-8</v>
      </c>
      <c r="O40" s="39">
        <f t="shared" si="2"/>
        <v>-7.7577399346409046E-6</v>
      </c>
      <c r="P40" s="39">
        <f t="shared" si="3"/>
        <v>-1.4545762377451698E-5</v>
      </c>
      <c r="Q40" s="39">
        <f t="shared" si="4"/>
        <v>-3.5865649258626465E-5</v>
      </c>
      <c r="R40" s="40" cm="1">
        <f t="array" ref="R40">(O40/WSchiene_2)*10^6*(1+3*Faktor_Oberbauzustand_2*fPersonenzüge_2)</f>
        <v>-4.7191643761350613E-5</v>
      </c>
      <c r="S40" s="40" cm="1">
        <f t="array" ref="S40">(O40/WSchiene_2)*10^6*(1+3*Faktor_Oberbauzustand_2*fGüterzüge_2)</f>
        <v>-4.6625344036214408E-5</v>
      </c>
      <c r="T40" s="40" t="e">
        <f t="shared" si="7"/>
        <v>#N/A</v>
      </c>
      <c r="U40" s="39" cm="1">
        <f t="array" ref="U40">ktot_2*N40</f>
        <v>1.1827740540014216E-6</v>
      </c>
      <c r="V40" s="139">
        <f t="shared" ref="V40:V71" si="8">MAX($U$8:$U$338)</f>
        <v>28.788060189811855</v>
      </c>
    </row>
    <row r="41" spans="1:22">
      <c r="A41" s="162"/>
      <c r="B41" s="162"/>
      <c r="C41" s="162"/>
      <c r="D41" s="162"/>
      <c r="E41" s="162"/>
      <c r="F41" s="162"/>
      <c r="G41" s="162"/>
      <c r="H41" s="49"/>
      <c r="I41" s="49"/>
      <c r="J41" s="49"/>
      <c r="K41" s="49"/>
      <c r="L41" s="109"/>
      <c r="M41" s="38">
        <f t="shared" si="6"/>
        <v>3.1000000000000014</v>
      </c>
      <c r="N41" s="39">
        <f t="shared" si="1"/>
        <v>1.6832818375285538E-7</v>
      </c>
      <c r="O41" s="39">
        <f t="shared" si="2"/>
        <v>-8.6339092041404867E-6</v>
      </c>
      <c r="P41" s="39">
        <f t="shared" si="3"/>
        <v>-1.6188579757763412E-5</v>
      </c>
      <c r="Q41" s="39">
        <f t="shared" si="4"/>
        <v>-3.9916362478689265E-5</v>
      </c>
      <c r="R41" s="40" cm="1">
        <f t="array" ref="R41">(O41/WSchiene_2)*10^6*(1+3*Faktor_Oberbauzustand_2*fPersonenzüge_2)</f>
        <v>-5.2521529577222719E-5</v>
      </c>
      <c r="S41" s="40" cm="1">
        <f t="array" ref="S41">(O41/WSchiene_2)*10^6*(1+3*Faktor_Oberbauzustand_2*fGüterzüge_2)</f>
        <v>-5.1891271222296048E-5</v>
      </c>
      <c r="T41" s="40" t="e">
        <f t="shared" si="7"/>
        <v>#N/A</v>
      </c>
      <c r="U41" s="39" cm="1">
        <f t="array" ref="U41">ktot_2*N41</f>
        <v>3.390759096528502E-6</v>
      </c>
      <c r="V41" s="139">
        <f t="shared" si="8"/>
        <v>28.788060189811855</v>
      </c>
    </row>
    <row r="42" spans="1:22">
      <c r="A42" s="162"/>
      <c r="B42" s="162"/>
      <c r="C42" s="162"/>
      <c r="D42" s="162"/>
      <c r="E42" s="162"/>
      <c r="F42" s="162"/>
      <c r="G42" s="162"/>
      <c r="H42" s="49"/>
      <c r="I42" s="49"/>
      <c r="J42" s="49"/>
      <c r="K42" s="49"/>
      <c r="L42" s="30"/>
      <c r="M42" s="38">
        <f t="shared" si="6"/>
        <v>3.2000000000000015</v>
      </c>
      <c r="N42" s="39">
        <f t="shared" si="1"/>
        <v>3.0313205570601221E-7</v>
      </c>
      <c r="O42" s="39">
        <f t="shared" si="2"/>
        <v>-9.4528607716076579E-6</v>
      </c>
      <c r="P42" s="39">
        <f t="shared" si="3"/>
        <v>-1.7724113946764359E-5</v>
      </c>
      <c r="Q42" s="39">
        <f t="shared" si="4"/>
        <v>-4.370254633198178E-5</v>
      </c>
      <c r="R42" s="40" cm="1">
        <f t="array" ref="R42">(O42/WSchiene_2)*10^6*(1+3*Faktor_Oberbauzustand_2*fPersonenzüge_2)</f>
        <v>-5.7503350436818136E-5</v>
      </c>
      <c r="S42" s="40" cm="1">
        <f t="array" ref="S42">(O42/WSchiene_2)*10^6*(1+3*Faktor_Oberbauzustand_2*fGüterzüge_2)</f>
        <v>-5.6813310231576315E-5</v>
      </c>
      <c r="T42" s="40" t="e">
        <f t="shared" si="7"/>
        <v>#N/A</v>
      </c>
      <c r="U42" s="39" cm="1">
        <f t="array" ref="U42">ktot_2*N42</f>
        <v>6.1062131867570275E-6</v>
      </c>
      <c r="V42" s="139">
        <f t="shared" si="8"/>
        <v>28.788060189811855</v>
      </c>
    </row>
    <row r="43" spans="1:22">
      <c r="A43" s="162"/>
      <c r="B43" s="162"/>
      <c r="C43" s="162"/>
      <c r="D43" s="162"/>
      <c r="E43" s="162"/>
      <c r="F43" s="162"/>
      <c r="G43" s="162"/>
      <c r="H43" s="49"/>
      <c r="I43" s="49"/>
      <c r="J43" s="49"/>
      <c r="K43" s="49"/>
      <c r="L43" s="30"/>
      <c r="M43" s="38">
        <f t="shared" si="6"/>
        <v>3.3000000000000016</v>
      </c>
      <c r="N43" s="39">
        <f t="shared" si="1"/>
        <v>4.6550818882209919E-7</v>
      </c>
      <c r="O43" s="39">
        <f t="shared" si="2"/>
        <v>-1.0169270301399624E-5</v>
      </c>
      <c r="P43" s="39">
        <f t="shared" si="3"/>
        <v>-1.9067381815124299E-5</v>
      </c>
      <c r="Q43" s="39">
        <f t="shared" si="4"/>
        <v>-4.7014656964399556E-5</v>
      </c>
      <c r="R43" s="40" cm="1">
        <f t="array" ref="R43">(O43/WSchiene_2)*10^6*(1+3*Faktor_Oberbauzustand_2*fPersonenzüge_2)</f>
        <v>-6.1861390742630996E-5</v>
      </c>
      <c r="S43" s="40" cm="1">
        <f t="array" ref="S43">(O43/WSchiene_2)*10^6*(1+3*Faktor_Oberbauzustand_2*fGüterzüge_2)</f>
        <v>-6.1119054053719422E-5</v>
      </c>
      <c r="T43" s="40" t="e">
        <f t="shared" si="7"/>
        <v>#N/A</v>
      </c>
      <c r="U43" s="39" cm="1">
        <f t="array" ref="U43">ktot_2*N43</f>
        <v>9.3770757253255583E-6</v>
      </c>
      <c r="V43" s="139">
        <f t="shared" si="8"/>
        <v>28.788060189811855</v>
      </c>
    </row>
    <row r="44" spans="1:22">
      <c r="A44" s="162"/>
      <c r="B44" s="162"/>
      <c r="C44" s="162"/>
      <c r="D44" s="162"/>
      <c r="E44" s="162"/>
      <c r="F44" s="162"/>
      <c r="G44" s="162"/>
      <c r="H44" s="49"/>
      <c r="I44" s="49"/>
      <c r="J44" s="49"/>
      <c r="K44" s="49"/>
      <c r="L44" s="30"/>
      <c r="M44" s="38">
        <f t="shared" si="6"/>
        <v>3.4000000000000017</v>
      </c>
      <c r="N44" s="39">
        <f t="shared" si="1"/>
        <v>6.5753483212760667E-7</v>
      </c>
      <c r="O44" s="39">
        <f t="shared" si="2"/>
        <v>-1.0728565051078265E-5</v>
      </c>
      <c r="P44" s="39">
        <f t="shared" si="3"/>
        <v>-2.011605947077175E-5</v>
      </c>
      <c r="Q44" s="39">
        <f t="shared" si="4"/>
        <v>-4.9600393208868541E-5</v>
      </c>
      <c r="R44" s="40" cm="1">
        <f t="array" ref="R44">(O44/WSchiene_2)*10^6*(1+3*Faktor_Oberbauzustand_2*fPersonenzüge_2)</f>
        <v>-6.5263675274827038E-5</v>
      </c>
      <c r="S44" s="40" cm="1">
        <f t="array" ref="S44">(O44/WSchiene_2)*10^6*(1+3*Faktor_Oberbauzustand_2*fGüterzüge_2)</f>
        <v>-6.4480511171529102E-5</v>
      </c>
      <c r="T44" s="40" t="e">
        <f t="shared" si="7"/>
        <v>#N/A</v>
      </c>
      <c r="U44" s="39" cm="1">
        <f t="array" ref="U44">ktot_2*N44</f>
        <v>1.3245210419394214E-5</v>
      </c>
      <c r="V44" s="139">
        <f t="shared" si="8"/>
        <v>28.788060189811855</v>
      </c>
    </row>
    <row r="45" spans="1:22">
      <c r="A45" s="162"/>
      <c r="B45" s="162"/>
      <c r="C45" s="162"/>
      <c r="D45" s="162"/>
      <c r="E45" s="162"/>
      <c r="F45" s="162"/>
      <c r="G45" s="162"/>
      <c r="H45" s="49"/>
      <c r="I45" s="49"/>
      <c r="J45" s="49"/>
      <c r="K45" s="49"/>
      <c r="L45" s="30"/>
      <c r="M45" s="38">
        <f t="shared" si="6"/>
        <v>3.5000000000000018</v>
      </c>
      <c r="N45" s="39">
        <f t="shared" si="1"/>
        <v>8.8082912632155317E-7</v>
      </c>
      <c r="O45" s="39">
        <f t="shared" si="2"/>
        <v>-1.1066230602273898E-5</v>
      </c>
      <c r="P45" s="39">
        <f t="shared" si="3"/>
        <v>-2.0749182379263558E-5</v>
      </c>
      <c r="Q45" s="39">
        <f t="shared" si="4"/>
        <v>-5.1161491457576966E-5</v>
      </c>
      <c r="R45" s="40" cm="1">
        <f t="array" ref="R45">(O45/WSchiene_2)*10^6*(1+3*Faktor_Oberbauzustand_2*fPersonenzüge_2)</f>
        <v>-6.7317751917864431E-5</v>
      </c>
      <c r="S45" s="40" cm="1">
        <f t="array" ref="S45">(O45/WSchiene_2)*10^6*(1+3*Faktor_Oberbauzustand_2*fGüterzüge_2)</f>
        <v>-6.650993889485006E-5</v>
      </c>
      <c r="T45" s="40" t="e">
        <f t="shared" si="7"/>
        <v>#N/A</v>
      </c>
      <c r="U45" s="39" cm="1">
        <f t="array" ref="U45">ktot_2*N45</f>
        <v>1.7743192530058983E-5</v>
      </c>
      <c r="V45" s="139">
        <f t="shared" si="8"/>
        <v>28.788060189811855</v>
      </c>
    </row>
    <row r="46" spans="1:22">
      <c r="A46" s="162"/>
      <c r="B46" s="162"/>
      <c r="C46" s="162"/>
      <c r="D46" s="162"/>
      <c r="E46" s="162"/>
      <c r="F46" s="162"/>
      <c r="G46" s="162"/>
      <c r="H46" s="49"/>
      <c r="I46" s="49"/>
      <c r="J46" s="49"/>
      <c r="K46" s="49"/>
      <c r="L46" s="30"/>
      <c r="M46" s="38">
        <f t="shared" si="6"/>
        <v>3.6000000000000019</v>
      </c>
      <c r="N46" s="39">
        <f t="shared" si="1"/>
        <v>1.1363586259847776E-6</v>
      </c>
      <c r="O46" s="39">
        <f t="shared" si="2"/>
        <v>-1.1107273210582613E-5</v>
      </c>
      <c r="P46" s="39">
        <f t="shared" si="3"/>
        <v>-2.0826137269842401E-5</v>
      </c>
      <c r="Q46" s="39">
        <f t="shared" si="4"/>
        <v>-5.1351239993447129E-5</v>
      </c>
      <c r="R46" s="40" cm="1">
        <f t="array" ref="R46">(O46/WSchiene_2)*10^6*(1+3*Faktor_Oberbauzustand_2*fPersonenzüge_2)</f>
        <v>-6.7567421044009389E-5</v>
      </c>
      <c r="S46" s="40" cm="1">
        <f t="array" ref="S46">(O46/WSchiene_2)*10^6*(1+3*Faktor_Oberbauzustand_2*fGüterzüge_2)</f>
        <v>-6.6756611991481264E-5</v>
      </c>
      <c r="T46" s="40" t="e">
        <f t="shared" si="7"/>
        <v>#N/A</v>
      </c>
      <c r="U46" s="39" cm="1">
        <f t="array" ref="U46">ktot_2*N46</f>
        <v>2.2890512224820186E-5</v>
      </c>
      <c r="V46" s="139">
        <f t="shared" si="8"/>
        <v>28.788060189811855</v>
      </c>
    </row>
    <row r="47" spans="1:22">
      <c r="A47" s="162"/>
      <c r="B47" s="162"/>
      <c r="C47" s="162"/>
      <c r="D47" s="162"/>
      <c r="E47" s="162"/>
      <c r="F47" s="162"/>
      <c r="G47" s="162"/>
      <c r="H47" s="49"/>
      <c r="I47" s="49"/>
      <c r="J47" s="49"/>
      <c r="K47" s="49"/>
      <c r="L47" s="30"/>
      <c r="M47" s="38">
        <f t="shared" si="6"/>
        <v>3.700000000000002</v>
      </c>
      <c r="N47" s="39">
        <f t="shared" si="1"/>
        <v>1.4242222811264867E-6</v>
      </c>
      <c r="O47" s="39">
        <f t="shared" si="2"/>
        <v>-1.0765901095698152E-5</v>
      </c>
      <c r="P47" s="39">
        <f t="shared" si="3"/>
        <v>-2.0186064554434036E-5</v>
      </c>
      <c r="Q47" s="39">
        <f t="shared" si="4"/>
        <v>-4.977300552796187E-5</v>
      </c>
      <c r="R47" s="40" cm="1">
        <f t="array" ref="R47">(O47/WSchiene_2)*10^6*(1+3*Faktor_Oberbauzustand_2*fPersonenzüge_2)</f>
        <v>-6.5490796747318252E-5</v>
      </c>
      <c r="S47" s="40" cm="1">
        <f t="array" ref="S47">(O47/WSchiene_2)*10^6*(1+3*Faktor_Oberbauzustand_2*fGüterzüge_2)</f>
        <v>-6.4704907186350437E-5</v>
      </c>
      <c r="T47" s="40" t="e">
        <f t="shared" si="7"/>
        <v>#N/A</v>
      </c>
      <c r="U47" s="39" cm="1">
        <f t="array" ref="U47">ktot_2*N47</f>
        <v>2.868916272689415E-5</v>
      </c>
      <c r="V47" s="139">
        <f t="shared" si="8"/>
        <v>28.788060189811855</v>
      </c>
    </row>
    <row r="48" spans="1:22">
      <c r="A48" s="162" t="s">
        <v>116</v>
      </c>
      <c r="B48" s="162" t="s">
        <v>17</v>
      </c>
      <c r="C48" s="162" t="s">
        <v>117</v>
      </c>
      <c r="D48" s="162" t="s">
        <v>118</v>
      </c>
      <c r="E48" s="162"/>
      <c r="F48" s="162"/>
      <c r="G48" s="162"/>
      <c r="H48" s="49"/>
      <c r="I48" s="49"/>
      <c r="J48" s="49"/>
      <c r="K48" s="49"/>
      <c r="L48" s="5"/>
      <c r="M48" s="38">
        <f t="shared" si="6"/>
        <v>3.800000000000002</v>
      </c>
      <c r="N48" s="39">
        <f t="shared" si="1"/>
        <v>1.7433999655040643E-6</v>
      </c>
      <c r="O48" s="39">
        <f t="shared" si="2"/>
        <v>-9.9454982284547616E-6</v>
      </c>
      <c r="P48" s="39">
        <f t="shared" si="3"/>
        <v>-1.8647809178352676E-5</v>
      </c>
      <c r="Q48" s="39">
        <f t="shared" si="4"/>
        <v>-4.5980112013198159E-5</v>
      </c>
      <c r="R48" s="40" cm="1">
        <f t="array" ref="R48">(O48/WSchiene_2)*10^6*(1+3*Faktor_Oberbauzustand_2*fPersonenzüge_2)</f>
        <v>-6.0500147385787053E-5</v>
      </c>
      <c r="S48" s="40" cm="1">
        <f t="array" ref="S48">(O48/WSchiene_2)*10^6*(1+3*Faktor_Oberbauzustand_2*fGüterzüge_2)</f>
        <v>-5.9774145617157608E-5</v>
      </c>
      <c r="T48" s="40" t="e">
        <f t="shared" si="7"/>
        <v>#N/A</v>
      </c>
      <c r="U48" s="39" cm="1">
        <f t="array" ref="U48">ktot_2*N48</f>
        <v>3.5118594878916741E-5</v>
      </c>
      <c r="V48" s="139">
        <f t="shared" si="8"/>
        <v>28.788060189811855</v>
      </c>
    </row>
    <row r="49" spans="1:22">
      <c r="A49" s="163" t="s">
        <v>25</v>
      </c>
      <c r="B49" s="162" t="e">
        <f>x_1</f>
        <v>#REF!</v>
      </c>
      <c r="C49" s="162">
        <v>0</v>
      </c>
      <c r="D49" s="162">
        <v>-5.0000000000000001E-3</v>
      </c>
      <c r="E49" s="162" t="e">
        <f>D49*Achslast_1/2</f>
        <v>#REF!</v>
      </c>
      <c r="F49" s="162"/>
      <c r="G49" s="162"/>
      <c r="H49" s="49"/>
      <c r="I49" s="49"/>
      <c r="J49" s="49"/>
      <c r="K49" s="49"/>
      <c r="L49" s="5"/>
      <c r="M49" s="38">
        <f t="shared" si="6"/>
        <v>3.9000000000000021</v>
      </c>
      <c r="N49" s="39">
        <f t="shared" si="1"/>
        <v>2.0914704956471832E-6</v>
      </c>
      <c r="O49" s="39">
        <f t="shared" si="2"/>
        <v>-8.5389747072978894E-6</v>
      </c>
      <c r="P49" s="39">
        <f t="shared" si="3"/>
        <v>-1.601057757618354E-5</v>
      </c>
      <c r="Q49" s="39">
        <f t="shared" si="4"/>
        <v>-3.947746050530693E-5</v>
      </c>
      <c r="R49" s="40" cm="1">
        <f t="array" ref="R49">(O49/WSchiene_2)*10^6*(1+3*Faktor_Oberbauzustand_2*fPersonenzüge_2)</f>
        <v>-5.1944026980667018E-5</v>
      </c>
      <c r="S49" s="40" cm="1">
        <f t="array" ref="S49">(O49/WSchiene_2)*10^6*(1+3*Faktor_Oberbauzustand_2*fGüterzüge_2)</f>
        <v>-5.1320698656899014E-5</v>
      </c>
      <c r="T49" s="40" t="e">
        <f t="shared" si="7"/>
        <v>#N/A</v>
      </c>
      <c r="U49" s="39" cm="1">
        <f t="array" ref="U49">ktot_2*N49</f>
        <v>4.2130036991600129E-5</v>
      </c>
      <c r="V49" s="139">
        <f t="shared" si="8"/>
        <v>28.788060189811855</v>
      </c>
    </row>
    <row r="50" spans="1:22">
      <c r="A50" s="163" t="s">
        <v>32</v>
      </c>
      <c r="B50" s="162" t="e">
        <f>x_2</f>
        <v>#REF!</v>
      </c>
      <c r="C50" s="162">
        <v>0</v>
      </c>
      <c r="D50" s="162">
        <v>-5.0000000000000001E-3</v>
      </c>
      <c r="E50" s="162" t="e">
        <f>D50*Achslast_2/2</f>
        <v>#REF!</v>
      </c>
      <c r="F50" s="162"/>
      <c r="G50" s="162"/>
      <c r="H50" s="49"/>
      <c r="I50" s="49"/>
      <c r="J50" s="49"/>
      <c r="K50" s="49"/>
      <c r="L50" s="5"/>
      <c r="M50" s="38">
        <f t="shared" si="6"/>
        <v>4.0000000000000018</v>
      </c>
      <c r="N50" s="39">
        <f t="shared" si="1"/>
        <v>2.4642991865197607E-6</v>
      </c>
      <c r="O50" s="39">
        <f t="shared" si="2"/>
        <v>-6.4295883644957963E-6</v>
      </c>
      <c r="P50" s="39">
        <f t="shared" si="3"/>
        <v>-1.205547818342962E-5</v>
      </c>
      <c r="Q50" s="39">
        <f t="shared" si="4"/>
        <v>-2.9725327621339787E-5</v>
      </c>
      <c r="R50" s="40" cm="1">
        <f t="array" ref="R50">(O50/WSchiene_2)*10^6*(1+3*Faktor_Oberbauzustand_2*fPersonenzüge_2)</f>
        <v>-3.911227318597341E-5</v>
      </c>
      <c r="S50" s="40" cm="1">
        <f t="array" ref="S50">(O50/WSchiene_2)*10^6*(1+3*Faktor_Oberbauzustand_2*fGüterzüge_2)</f>
        <v>-3.8642925907741727E-5</v>
      </c>
      <c r="T50" s="40" t="e">
        <f t="shared" ref="T50:T81" si="9">IF(N50=MAX($N$8:$N$338),N50,#N/A)</f>
        <v>#N/A</v>
      </c>
      <c r="U50" s="39" cm="1">
        <f t="array" ref="U50">ktot_2*N50</f>
        <v>4.9640201046355818E-5</v>
      </c>
      <c r="V50" s="139">
        <f t="shared" si="8"/>
        <v>28.788060189811855</v>
      </c>
    </row>
    <row r="51" spans="1:22">
      <c r="A51" s="163" t="s">
        <v>35</v>
      </c>
      <c r="B51" s="162" t="e">
        <f>x_3</f>
        <v>#REF!</v>
      </c>
      <c r="C51" s="162">
        <v>0</v>
      </c>
      <c r="D51" s="162">
        <v>-5.0000000000000001E-3</v>
      </c>
      <c r="E51" s="162" t="e">
        <f>D51*Achslast_3/2</f>
        <v>#REF!</v>
      </c>
      <c r="F51" s="162"/>
      <c r="G51" s="162"/>
      <c r="H51" s="49"/>
      <c r="I51" s="49"/>
      <c r="J51" s="49"/>
      <c r="K51" s="49"/>
      <c r="L51" s="5"/>
      <c r="M51" s="38">
        <f t="shared" si="6"/>
        <v>4.1000000000000014</v>
      </c>
      <c r="N51" s="39">
        <f t="shared" si="1"/>
        <v>2.8556973679661608E-6</v>
      </c>
      <c r="O51" s="39">
        <f t="shared" si="2"/>
        <v>-3.4923424313223988E-6</v>
      </c>
      <c r="P51" s="39">
        <f t="shared" si="3"/>
        <v>-6.5481420587294977E-6</v>
      </c>
      <c r="Q51" s="39">
        <f t="shared" si="4"/>
        <v>-1.6145827236811829E-5</v>
      </c>
      <c r="R51" s="40" cm="1">
        <f t="array" ref="R51">(O51/WSchiene_2)*10^6*(1+3*Faktor_Oberbauzustand_2*fPersonenzüge_2)</f>
        <v>-2.124450952212083E-5</v>
      </c>
      <c r="S51" s="40" cm="1">
        <f t="array" ref="S51">(O51/WSchiene_2)*10^6*(1+3*Faktor_Oberbauzustand_2*fGüterzüge_2)</f>
        <v>-2.0989575407855378E-5</v>
      </c>
      <c r="T51" s="40" t="e">
        <f t="shared" si="9"/>
        <v>#N/A</v>
      </c>
      <c r="U51" s="39" cm="1">
        <f t="array" ref="U51">ktot_2*N51</f>
        <v>5.7524424083257572E-5</v>
      </c>
      <c r="V51" s="139">
        <f t="shared" si="8"/>
        <v>28.788060189811855</v>
      </c>
    </row>
    <row r="52" spans="1:22">
      <c r="A52" s="163" t="s">
        <v>40</v>
      </c>
      <c r="B52" s="162" t="e">
        <f>x4_</f>
        <v>#REF!</v>
      </c>
      <c r="C52" s="162">
        <v>0</v>
      </c>
      <c r="D52" s="162">
        <v>-5.0000000000000001E-3</v>
      </c>
      <c r="E52" s="162" t="e">
        <f>D52*Achslast_4/2</f>
        <v>#REF!</v>
      </c>
      <c r="F52" s="162"/>
      <c r="G52" s="162"/>
      <c r="H52" s="49"/>
      <c r="I52" s="49"/>
      <c r="J52" s="49"/>
      <c r="K52" s="49"/>
      <c r="L52" s="5"/>
      <c r="M52" s="38">
        <f t="shared" si="6"/>
        <v>4.2000000000000011</v>
      </c>
      <c r="N52" s="39">
        <f t="shared" si="1"/>
        <v>3.257057970145809E-6</v>
      </c>
      <c r="O52" s="39">
        <f t="shared" si="2"/>
        <v>4.0392654205907684E-7</v>
      </c>
      <c r="P52" s="39">
        <f t="shared" si="3"/>
        <v>7.5736226636076929E-7</v>
      </c>
      <c r="Q52" s="39">
        <f t="shared" si="4"/>
        <v>1.8674366253309147E-6</v>
      </c>
      <c r="R52" s="40" cm="1">
        <f t="array" ref="R52">(O52/WSchiene_2)*10^6*(1+3*Faktor_Oberbauzustand_2*fPersonenzüge_2)</f>
        <v>2.4571534543827825E-6</v>
      </c>
      <c r="S52" s="40" cm="1">
        <f t="array" ref="S52">(O52/WSchiene_2)*10^6*(1+3*Faktor_Oberbauzustand_2*fGüterzüge_2)</f>
        <v>2.427667612930189E-6</v>
      </c>
      <c r="T52" s="40" t="e">
        <f t="shared" si="9"/>
        <v>#N/A</v>
      </c>
      <c r="U52" s="39" cm="1">
        <f t="array" ref="U52">ktot_2*N52</f>
        <v>6.5609327528939261E-5</v>
      </c>
      <c r="V52" s="139">
        <f t="shared" si="8"/>
        <v>28.788060189811855</v>
      </c>
    </row>
    <row r="53" spans="1:22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5"/>
      <c r="M53" s="38">
        <f t="shared" si="6"/>
        <v>4.3000000000000007</v>
      </c>
      <c r="N53" s="39">
        <f t="shared" si="1"/>
        <v>3.6569733032690178E-6</v>
      </c>
      <c r="O53" s="39">
        <f t="shared" si="2"/>
        <v>5.3936483383473319E-6</v>
      </c>
      <c r="P53" s="39">
        <f t="shared" si="3"/>
        <v>1.0113090634401246E-5</v>
      </c>
      <c r="Q53" s="39">
        <f t="shared" si="4"/>
        <v>2.4935960880015404E-5</v>
      </c>
      <c r="R53" s="40" cm="1">
        <f t="array" ref="R53">(O53/WSchiene_2)*10^6*(1+3*Faktor_Oberbauzustand_2*fPersonenzüge_2)</f>
        <v>3.2810474842125532E-5</v>
      </c>
      <c r="S53" s="40" cm="1">
        <f t="array" ref="S53">(O53/WSchiene_2)*10^6*(1+3*Faktor_Oberbauzustand_2*fGüterzüge_2)</f>
        <v>3.2416749144020028E-5</v>
      </c>
      <c r="T53" s="40" t="e">
        <f t="shared" si="9"/>
        <v>#N/A</v>
      </c>
      <c r="U53" s="39" cm="1">
        <f t="array" ref="U53">ktot_2*N53</f>
        <v>7.3665117851133265E-5</v>
      </c>
      <c r="V53" s="139">
        <f t="shared" si="8"/>
        <v>28.788060189811855</v>
      </c>
    </row>
    <row r="54" spans="1:22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5"/>
      <c r="M54" s="38">
        <f t="shared" si="6"/>
        <v>4.4000000000000004</v>
      </c>
      <c r="N54" s="39">
        <f t="shared" si="1"/>
        <v>4.040843530233934E-6</v>
      </c>
      <c r="O54" s="39">
        <f t="shared" si="2"/>
        <v>1.1610678211309903E-5</v>
      </c>
      <c r="P54" s="39">
        <f t="shared" si="3"/>
        <v>2.1770021646206068E-5</v>
      </c>
      <c r="Q54" s="39">
        <f t="shared" si="4"/>
        <v>5.3678586275126689E-5</v>
      </c>
      <c r="R54" s="40" cm="1">
        <f t="array" ref="R54">(O54/WSchiene_2)*10^6*(1+3*Faktor_Oberbauzustand_2*fPersonenzüge_2)</f>
        <v>7.0629718783061436E-5</v>
      </c>
      <c r="S54" s="40" cm="1">
        <f t="array" ref="S54">(O54/WSchiene_2)*10^6*(1+3*Faktor_Oberbauzustand_2*fGüterzüge_2)</f>
        <v>6.97821621576647E-5</v>
      </c>
      <c r="T54" s="40" t="e">
        <f t="shared" si="9"/>
        <v>#N/A</v>
      </c>
      <c r="U54" s="39" cm="1">
        <f t="array" ref="U54">ktot_2*N54</f>
        <v>8.1397699733433E-5</v>
      </c>
      <c r="V54" s="139">
        <f t="shared" si="8"/>
        <v>28.788060189811855</v>
      </c>
    </row>
    <row r="55" spans="1:22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106"/>
      <c r="M55" s="159">
        <f t="shared" si="6"/>
        <v>4.5</v>
      </c>
      <c r="N55" s="39">
        <f t="shared" si="1"/>
        <v>4.390487077293453E-6</v>
      </c>
      <c r="O55" s="39">
        <f t="shared" si="2"/>
        <v>1.9183384377433134E-5</v>
      </c>
      <c r="P55" s="39">
        <f t="shared" si="3"/>
        <v>3.5968845707687127E-5</v>
      </c>
      <c r="Q55" s="39">
        <f t="shared" si="4"/>
        <v>8.8688785841114812E-5</v>
      </c>
      <c r="R55" s="40" cm="1">
        <f t="array" ref="R55">(O55/WSchiene_2)*10^6*(1+3*Faktor_Oberbauzustand_2*fPersonenzüge_2)</f>
        <v>1.1669577084357213E-4</v>
      </c>
      <c r="S55" s="40" cm="1">
        <f t="array" ref="S55">(O55/WSchiene_2)*10^6*(1+3*Faktor_Oberbauzustand_2*fGüterzüge_2)</f>
        <v>1.1529542159344927E-4</v>
      </c>
      <c r="T55" s="40" t="e">
        <f t="shared" si="9"/>
        <v>#N/A</v>
      </c>
      <c r="U55" s="39" cm="1">
        <f t="array" ref="U55">ktot_2*N55</f>
        <v>8.8440828289226283E-5</v>
      </c>
      <c r="V55" s="139">
        <f t="shared" si="8"/>
        <v>28.788060189811855</v>
      </c>
    </row>
    <row r="56" spans="1:22">
      <c r="A56" s="263" t="s">
        <v>175</v>
      </c>
      <c r="B56" s="264">
        <f>MAX(N8:N338)</f>
        <v>1.4291318691676265</v>
      </c>
      <c r="C56" s="265" t="s">
        <v>93</v>
      </c>
      <c r="D56" s="49"/>
      <c r="E56" s="49"/>
      <c r="F56" s="211"/>
      <c r="G56" s="212">
        <f>INDEX($M$8:$M$338,MATCH(maximale_Einsenkung_2,$N$8:$N$338,0))</f>
        <v>14.899999999999963</v>
      </c>
      <c r="H56" s="213" t="s">
        <v>66</v>
      </c>
      <c r="I56" s="214"/>
      <c r="J56" s="49"/>
      <c r="K56" s="49"/>
      <c r="L56" s="1"/>
      <c r="M56" s="159">
        <f t="shared" si="6"/>
        <v>4.5999999999999996</v>
      </c>
      <c r="N56" s="39">
        <f t="shared" si="1"/>
        <v>4.6837673563260879E-6</v>
      </c>
      <c r="O56" s="39">
        <f t="shared" si="2"/>
        <v>2.8228533466180286E-5</v>
      </c>
      <c r="P56" s="39">
        <f t="shared" si="3"/>
        <v>5.2928500249088036E-5</v>
      </c>
      <c r="Q56" s="39">
        <f t="shared" si="4"/>
        <v>1.3050639605261343E-4</v>
      </c>
      <c r="R56" s="40" cm="1">
        <f t="array" ref="R56">(O56/WSchiene_2)*10^6*(1+3*Faktor_Oberbauzustand_2*fPersonenzüge_2)</f>
        <v>1.7171894217449138E-4</v>
      </c>
      <c r="S56" s="40" cm="1">
        <f t="array" ref="S56">(O56/WSchiene_2)*10^6*(1+3*Faktor_Oberbauzustand_2*fGüterzüge_2)</f>
        <v>1.6965831486839746E-4</v>
      </c>
      <c r="T56" s="40" t="e">
        <f t="shared" si="9"/>
        <v>#N/A</v>
      </c>
      <c r="U56" s="39" cm="1">
        <f t="array" ref="U56">ktot_2*N56</f>
        <v>9.4348589852330864E-5</v>
      </c>
      <c r="V56" s="139">
        <f t="shared" si="8"/>
        <v>28.788060189811855</v>
      </c>
    </row>
    <row r="57" spans="1:22" ht="14.65" hidden="1" customHeight="1">
      <c r="A57" s="215" t="s">
        <v>120</v>
      </c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1"/>
      <c r="M57" s="159">
        <f t="shared" si="6"/>
        <v>4.6999999999999993</v>
      </c>
      <c r="N57" s="39">
        <f t="shared" si="1"/>
        <v>4.8942536802352265E-6</v>
      </c>
      <c r="O57" s="39">
        <f t="shared" si="2"/>
        <v>3.8843849108473102E-5</v>
      </c>
      <c r="P57" s="39">
        <f t="shared" si="3"/>
        <v>7.2832217078387055E-5</v>
      </c>
      <c r="Q57" s="39">
        <f t="shared" si="4"/>
        <v>1.7958321363140595E-4</v>
      </c>
      <c r="R57" s="40" cm="1">
        <f t="array" ref="R57">(O57/WSchiene_2)*10^6*(1+3*Faktor_Oberbauzustand_2*fPersonenzüge_2)</f>
        <v>2.362937021465868E-4</v>
      </c>
      <c r="S57" s="40" cm="1">
        <f t="array" ref="S57">(O57/WSchiene_2)*10^6*(1+3*Faktor_Oberbauzustand_2*fGüterzüge_2)</f>
        <v>2.3345817772082775E-4</v>
      </c>
      <c r="T57" s="40" t="e">
        <f t="shared" si="9"/>
        <v>#N/A</v>
      </c>
      <c r="U57" s="39" cm="1">
        <f t="array" ref="U57">ktot_2*N57</f>
        <v>9.8588571545103385E-5</v>
      </c>
      <c r="V57" s="139">
        <f t="shared" si="8"/>
        <v>28.788060189811855</v>
      </c>
    </row>
    <row r="58" spans="1:22" ht="14.65" hidden="1" customHeight="1">
      <c r="A58" s="216" t="s">
        <v>121</v>
      </c>
      <c r="B58" s="217" t="e">
        <f>IF(Achslast_1_2=0,0,((1/(ESchiene_2*ISchiene_2))*((Achslast_4_2*10^3/2)/(8*(1/Lelastisch_2)^3)*EXP(-(1/Lelastisch_2)*ABS(G58-x4_)*10^3)*(COS(ABS(G58-x4_)*10^3/Lelastisch_2)+SIN(ABS(G58-x4_)*10^3/Lelastisch_2))+(Achslast_3_2*10^3/2)/(8*(1/Lelastisch_2)^3)*EXP(-(1/Lelastisch_2)*ABS(G58-x_3)*10^3)*(COS(ABS(G58-x_3)*10^3/Lelastisch_2)+SIN(ABS(G58-x_3)*10^3/Lelastisch_2))+(Achslast_2_2*10^3/2)/(8*(1/Lelastisch_2)^3)*EXP(-(1/Lelastisch_2)*ABS(G58-x_2)*10^3)*(COS(ABS(G58-x_2)*10^3/Lelastisch_2)+SIN(ABS(G58-x_2)*10^3/Lelastisch_2))+(Achslast_1_2*10^3/2)/(8*(1/Lelastisch_2)^3)*EXP(-(1/Lelastisch_2)*ABS(G58-x_1)*10^3)*(COS(ABS(G58-x_1)*10^3/Lelastisch_2)+SIN(ABS(G58-x_1)*10^3/Lelastisch_2)))))</f>
        <v>#REF!</v>
      </c>
      <c r="C58" s="216" t="s">
        <v>93</v>
      </c>
      <c r="D58" s="216"/>
      <c r="E58" s="216"/>
      <c r="F58" s="218" t="s">
        <v>122</v>
      </c>
      <c r="G58" s="216" t="e">
        <f>IF(B9=0,"-",x_1)</f>
        <v>#REF!</v>
      </c>
      <c r="H58" s="216" t="s">
        <v>66</v>
      </c>
      <c r="I58" s="215"/>
      <c r="J58" s="215"/>
      <c r="K58" s="215"/>
      <c r="L58" s="1"/>
      <c r="M58" s="159">
        <f t="shared" si="6"/>
        <v>4.7999999999999989</v>
      </c>
      <c r="N58" s="39">
        <f t="shared" si="1"/>
        <v>4.9909381238961772E-6</v>
      </c>
      <c r="O58" s="39">
        <f t="shared" si="2"/>
        <v>5.1099130430976098E-5</v>
      </c>
      <c r="P58" s="39">
        <f t="shared" si="3"/>
        <v>9.5810869558080196E-5</v>
      </c>
      <c r="Q58" s="39">
        <f t="shared" si="4"/>
        <v>2.3624193449364814E-4</v>
      </c>
      <c r="R58" s="40" cm="1">
        <f t="array" ref="R58">(O58/WSchiene_2)*10^6*(1+3*Faktor_Oberbauzustand_2*fPersonenzüge_2)</f>
        <v>3.1084465064953708E-4</v>
      </c>
      <c r="S58" s="40" cm="1">
        <f t="array" ref="S58">(O58/WSchiene_2)*10^6*(1+3*Faktor_Oberbauzustand_2*fGüterzüge_2)</f>
        <v>3.0711451484174258E-4</v>
      </c>
      <c r="T58" s="40" t="e">
        <f t="shared" si="9"/>
        <v>#N/A</v>
      </c>
      <c r="U58" s="39" cm="1">
        <f t="array" ref="U58">ktot_2*N58</f>
        <v>1.005361577990934E-4</v>
      </c>
      <c r="V58" s="139">
        <f t="shared" si="8"/>
        <v>28.788060189811855</v>
      </c>
    </row>
    <row r="59" spans="1:22" ht="14.65" hidden="1" customHeight="1">
      <c r="A59" s="216" t="s">
        <v>123</v>
      </c>
      <c r="B59" s="217" t="e">
        <f>IF(Achslast_2_2=0,0,((1/(ESchiene_2*ISchiene_2))*((Achslast_4_2*10^3/2)/(8*(1/Lelastisch_2)^3)*EXP(-(1/Lelastisch_2)*ABS(G59-x4_)*10^3)*(COS(ABS(G59-x4_)*10^3/Lelastisch_2)+SIN(ABS(G59-x4_)*10^3/Lelastisch_2))+(Achslast_3_2*10^3/2)/(8*(1/Lelastisch_2)^3)*EXP(-(1/Lelastisch_2)*ABS(G59-x_3)*10^3)*(COS(ABS(G59-x_3)*10^3/Lelastisch_2)+SIN(ABS(G59-x_3)*10^3/Lelastisch_2))+(Achslast_2_2*10^3/2)/(8*(1/Lelastisch_2)^3)*EXP(-(1/Lelastisch_2)*ABS(G59-x_2)*10^3)*(COS(ABS(G59-x_2)*10^3/Lelastisch_2)+SIN(ABS(G59-x_2)*10^3/Lelastisch_2))+(Achslast_1_2*10^3/2)/(8*(1/Lelastisch_2)^3)*EXP(-(1/Lelastisch_2)*ABS(G59-x_1)*10^3)*(COS(ABS(G59-x_1)*10^3/Lelastisch_2)+SIN(ABS(G59-x_1)*10^3/Lelastisch_2)))))</f>
        <v>#REF!</v>
      </c>
      <c r="C59" s="216" t="s">
        <v>93</v>
      </c>
      <c r="D59" s="216"/>
      <c r="E59" s="216"/>
      <c r="F59" s="218" t="s">
        <v>124</v>
      </c>
      <c r="G59" s="216" t="e">
        <f>IF(B10=0,"-",x_2)</f>
        <v>#REF!</v>
      </c>
      <c r="H59" s="216" t="s">
        <v>66</v>
      </c>
      <c r="I59" s="215"/>
      <c r="J59" s="215"/>
      <c r="K59" s="215"/>
      <c r="L59" s="1"/>
      <c r="M59" s="159">
        <f t="shared" si="6"/>
        <v>4.8999999999999986</v>
      </c>
      <c r="N59" s="39">
        <f t="shared" si="1"/>
        <v>4.9380342827633432E-6</v>
      </c>
      <c r="O59" s="39">
        <f t="shared" si="2"/>
        <v>6.5025836123881037E-5</v>
      </c>
      <c r="P59" s="39">
        <f t="shared" si="3"/>
        <v>1.2192344273227691E-4</v>
      </c>
      <c r="Q59" s="39">
        <f t="shared" si="4"/>
        <v>3.0062799872344447E-4</v>
      </c>
      <c r="R59" s="40" cm="1">
        <f t="array" ref="R59">(O59/WSchiene_2)*10^6*(1+3*Faktor_Oberbauzustand_2*fPersonenzüge_2)</f>
        <v>3.9556315621505856E-4</v>
      </c>
      <c r="S59" s="40" cm="1">
        <f t="array" ref="S59">(O59/WSchiene_2)*10^6*(1+3*Faktor_Oberbauzustand_2*fGüterzüge_2)</f>
        <v>3.9081639834047784E-4</v>
      </c>
      <c r="T59" s="40" t="e">
        <f t="shared" si="9"/>
        <v>#N/A</v>
      </c>
      <c r="U59" s="39" cm="1">
        <f t="array" ref="U59">ktot_2*N59</f>
        <v>9.9470476600834693E-5</v>
      </c>
      <c r="V59" s="139">
        <f t="shared" si="8"/>
        <v>28.788060189811855</v>
      </c>
    </row>
    <row r="60" spans="1:22" ht="14.65" hidden="1" customHeight="1">
      <c r="A60" s="216" t="s">
        <v>125</v>
      </c>
      <c r="B60" s="219" t="e">
        <f>IF(Achslast_3_2=0," - ",((1/(ESchiene_2*ISchiene_2))*((Achslast_4_2*10^3/2)/(8*(1/Lelastisch_2)^3)*EXP(-(1/Lelastisch_2)*ABS(G60-x4_)*10^3)*(COS(ABS(G60-x4_)*10^3/Lelastisch_2)+SIN(ABS(G60-x4_)*10^3/Lelastisch_2))+(Achslast_3_2*10^3/2)/(8*(1/Lelastisch_2)^3)*EXP(-(1/Lelastisch_2)*ABS(G60-x_3)*10^3)*(COS(ABS(G60-x_3)*10^3/Lelastisch_2)+SIN(ABS(G60-x_3)*10^3/Lelastisch_2))+(Achslast_2_2*10^3/2)/(8*(1/Lelastisch_2)^3)*EXP(-(1/Lelastisch_2)*ABS(G60-x_2)*10^3)*(COS(ABS(G60-x_2)*10^3/Lelastisch_2)+SIN(ABS(G60-x_2)*10^3/Lelastisch_2))+(Achslast_1_2*10^3/2)/(8*(1/Lelastisch_2)^3)*EXP(-(1/Lelastisch_2)*ABS(G60-x_1)*10^3)*(COS(ABS(G60-x_1)*10^3/Lelastisch_2)+SIN(ABS(G60-x_1)*10^3/Lelastisch_2)))))</f>
        <v>#REF!</v>
      </c>
      <c r="C60" s="216" t="s">
        <v>93</v>
      </c>
      <c r="D60" s="216"/>
      <c r="E60" s="216"/>
      <c r="F60" s="218" t="s">
        <v>126</v>
      </c>
      <c r="G60" s="218" t="e">
        <f>IF(#REF!=0,"-",x_3)</f>
        <v>#REF!</v>
      </c>
      <c r="H60" s="216" t="s">
        <v>66</v>
      </c>
      <c r="I60" s="215"/>
      <c r="J60" s="215"/>
      <c r="K60" s="215"/>
      <c r="L60" s="1"/>
      <c r="M60" s="159">
        <f t="shared" si="6"/>
        <v>4.9999999999999982</v>
      </c>
      <c r="N60" s="39">
        <f t="shared" si="1"/>
        <v>4.6948883542205153E-6</v>
      </c>
      <c r="O60" s="39">
        <f t="shared" si="2"/>
        <v>8.0605067370563424E-5</v>
      </c>
      <c r="P60" s="39">
        <f t="shared" si="3"/>
        <v>1.5113450131980639E-4</v>
      </c>
      <c r="Q60" s="39">
        <f t="shared" si="4"/>
        <v>3.7265403315100981E-4</v>
      </c>
      <c r="R60" s="40" cm="1">
        <f t="array" ref="R60">(O60/WSchiene_2)*10^6*(1+3*Faktor_Oberbauzustand_2*fPersonenzüge_2)</f>
        <v>4.9033425414606556E-4</v>
      </c>
      <c r="S60" s="40" cm="1">
        <f t="array" ref="S60">(O60/WSchiene_2)*10^6*(1+3*Faktor_Oberbauzustand_2*fGüterzüge_2)</f>
        <v>4.8445024309631276E-4</v>
      </c>
      <c r="T60" s="40" t="e">
        <f t="shared" si="9"/>
        <v>#N/A</v>
      </c>
      <c r="U60" s="39" cm="1">
        <f t="array" ref="U60">ktot_2*N60</f>
        <v>9.4572608337722294E-5</v>
      </c>
      <c r="V60" s="139">
        <f t="shared" si="8"/>
        <v>28.788060189811855</v>
      </c>
    </row>
    <row r="61" spans="1:22" ht="14.65" hidden="1" customHeight="1">
      <c r="A61" s="216" t="s">
        <v>127</v>
      </c>
      <c r="B61" s="219" t="e">
        <f>IF(Achslast_4_2=0," - ",((1/(ESchiene_2*ISchiene_2))*((Achslast_4_2*10^3/2)/(8*(1/Lelastisch_2)^3)*EXP(-(1/Lelastisch_2)*ABS(G61-x4_)*10^3)*(COS(ABS(G61-x4_)*10^3/Lelastisch_2)+SIN(ABS(G61-x4_)*10^3/Lelastisch_2))+(Achslast_3_2*10^3/2)/(8*(1/Lelastisch_2)^3)*EXP(-(1/Lelastisch_2)*ABS(G61-x_3)*10^3)*(COS(ABS(G61-x_3)*10^3/Lelastisch_2)+SIN(ABS(G61-x_3)*10^3/Lelastisch_2))+(Achslast_2_2*10^3/2)/(8*(1/Lelastisch_2)^3)*EXP(-(1/Lelastisch_2)*ABS(G61-x_2)*10^3)*(COS(ABS(G61-x_2)*10^3/Lelastisch_2)+SIN(ABS(G61-x_2)*10^3/Lelastisch_2))+(Achslast_1_2*10^3/2)/(8*(1/Lelastisch_2)^3)*EXP(-(1/Lelastisch_2)*ABS(G61-x_1)*10^3)*(COS(ABS(G61-x_1)*10^3/Lelastisch_2)+SIN(ABS(G61-x_1)*10^3/Lelastisch_2)))))</f>
        <v>#REF!</v>
      </c>
      <c r="C61" s="216" t="s">
        <v>93</v>
      </c>
      <c r="D61" s="216"/>
      <c r="E61" s="216"/>
      <c r="F61" s="218" t="s">
        <v>128</v>
      </c>
      <c r="G61" s="218" t="e">
        <f>IF(#REF!=0,"-",x4_)</f>
        <v>#REF!</v>
      </c>
      <c r="H61" s="216" t="s">
        <v>66</v>
      </c>
      <c r="I61" s="215"/>
      <c r="J61" s="215"/>
      <c r="K61" s="215"/>
      <c r="L61" s="1"/>
      <c r="M61" s="159">
        <f>MIN(M60+Dx,LSchiene)</f>
        <v>5.0999999999999979</v>
      </c>
      <c r="N61" s="39">
        <f t="shared" si="1"/>
        <v>4.2160376320029647E-6</v>
      </c>
      <c r="O61" s="39">
        <f t="shared" si="2"/>
        <v>9.7753920768158494E-5</v>
      </c>
      <c r="P61" s="39">
        <f t="shared" si="3"/>
        <v>1.8328860144029718E-4</v>
      </c>
      <c r="Q61" s="39">
        <f t="shared" si="4"/>
        <v>4.5193675805898516E-4</v>
      </c>
      <c r="R61" s="40" cm="1">
        <f t="array" ref="R61">(O61/WSchiene_2)*10^6*(1+3*Faktor_Oberbauzustand_2*fPersonenzüge_2)</f>
        <v>5.9465362902498054E-4</v>
      </c>
      <c r="S61" s="40" cm="1">
        <f t="array" ref="S61">(O61/WSchiene_2)*10^6*(1+3*Faktor_Oberbauzustand_2*fGüterzüge_2)</f>
        <v>5.8751778547668073E-4</v>
      </c>
      <c r="T61" s="40" t="e">
        <f t="shared" si="9"/>
        <v>#N/A</v>
      </c>
      <c r="U61" s="39" cm="1">
        <f t="array" ref="U61">ktot_2*N61</f>
        <v>8.4926764094417668E-5</v>
      </c>
      <c r="V61" s="139">
        <f t="shared" si="8"/>
        <v>28.788060189811855</v>
      </c>
    </row>
    <row r="62" spans="1:22">
      <c r="A62" s="263" t="s">
        <v>176</v>
      </c>
      <c r="B62" s="264">
        <f>MIN(N8:N338)</f>
        <v>-6.1640698248127977E-2</v>
      </c>
      <c r="C62" s="265" t="s">
        <v>93</v>
      </c>
      <c r="D62" s="49"/>
      <c r="E62" s="49"/>
      <c r="F62" s="49"/>
      <c r="G62" s="49"/>
      <c r="H62" s="49"/>
      <c r="I62" s="49"/>
      <c r="J62" s="49"/>
      <c r="K62" s="49"/>
      <c r="L62" s="1"/>
      <c r="M62" s="159">
        <f t="shared" si="6"/>
        <v>5.1999999999999975</v>
      </c>
      <c r="N62" s="39">
        <f t="shared" si="1"/>
        <v>3.4514562506859851E-6</v>
      </c>
      <c r="O62" s="39">
        <f t="shared" si="2"/>
        <v>1.1631023199194893E-4</v>
      </c>
      <c r="P62" s="39">
        <f t="shared" si="3"/>
        <v>2.1808168498490423E-4</v>
      </c>
      <c r="Q62" s="39">
        <f t="shared" si="4"/>
        <v>5.3772645396185355E-4</v>
      </c>
      <c r="R62" s="40" cm="1">
        <f t="array" ref="R62">(O62/WSchiene_2)*10^6*(1+3*Faktor_Oberbauzustand_2*fPersonenzüge_2)</f>
        <v>7.0753480784454419E-4</v>
      </c>
      <c r="S62" s="40" cm="1">
        <f t="array" ref="S62">(O62/WSchiene_2)*10^6*(1+3*Faktor_Oberbauzustand_2*fGüterzüge_2)</f>
        <v>6.990443901504096E-4</v>
      </c>
      <c r="T62" s="40" t="e">
        <f t="shared" si="9"/>
        <v>#N/A</v>
      </c>
      <c r="U62" s="39" cm="1">
        <f t="array" ref="U62">ktot_2*N62</f>
        <v>6.9525235865827733E-5</v>
      </c>
      <c r="V62" s="139">
        <f t="shared" si="8"/>
        <v>28.788060189811855</v>
      </c>
    </row>
    <row r="63" spans="1:22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1"/>
      <c r="M63" s="159">
        <f t="shared" si="6"/>
        <v>5.2999999999999972</v>
      </c>
      <c r="N63" s="39">
        <f t="shared" si="1"/>
        <v>2.347032700061366E-6</v>
      </c>
      <c r="O63" s="39">
        <f t="shared" si="2"/>
        <v>1.3601579395300286E-4</v>
      </c>
      <c r="P63" s="39">
        <f t="shared" si="3"/>
        <v>2.5502961366188036E-4</v>
      </c>
      <c r="Q63" s="39">
        <f t="shared" si="4"/>
        <v>6.2882937564957408E-4</v>
      </c>
      <c r="R63" s="40" cm="1">
        <f t="array" ref="R63">(O63/WSchiene_2)*10^6*(1+3*Faktor_Oberbauzustand_2*fPersonenzüge_2)</f>
        <v>8.274070732231238E-4</v>
      </c>
      <c r="S63" s="40" cm="1">
        <f t="array" ref="S63">(O63/WSchiene_2)*10^6*(1+3*Faktor_Oberbauzustand_2*fGüterzüge_2)</f>
        <v>8.1747818834444633E-4</v>
      </c>
      <c r="T63" s="40" t="e">
        <f t="shared" si="9"/>
        <v>#N/A</v>
      </c>
      <c r="U63" s="39" cm="1">
        <f t="array" ref="U63">ktot_2*N63</f>
        <v>4.7278015482347477E-5</v>
      </c>
      <c r="V63" s="139">
        <f t="shared" si="8"/>
        <v>28.788060189811855</v>
      </c>
    </row>
    <row r="64" spans="1:22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1"/>
      <c r="M64" s="159">
        <f t="shared" si="6"/>
        <v>5.3999999999999968</v>
      </c>
      <c r="N64" s="39">
        <f t="shared" si="1"/>
        <v>8.4532806391074118E-7</v>
      </c>
      <c r="O64" s="39">
        <f t="shared" si="2"/>
        <v>1.5649821113476343E-4</v>
      </c>
      <c r="P64" s="39">
        <f t="shared" si="3"/>
        <v>2.9343414587768143E-4</v>
      </c>
      <c r="Q64" s="39">
        <f t="shared" si="4"/>
        <v>7.2352386100214253E-4</v>
      </c>
      <c r="R64" s="40" cm="1">
        <f t="array" ref="R64">(O64/WSchiene_2)*10^6*(1+3*Faktor_Oberbauzustand_2*fPersonenzüge_2)</f>
        <v>9.5200508026597704E-4</v>
      </c>
      <c r="S64" s="40" cm="1">
        <f t="array" ref="S64">(O64/WSchiene_2)*10^6*(1+3*Faktor_Oberbauzustand_2*fGüterzüge_2)</f>
        <v>9.4058101930278529E-4</v>
      </c>
      <c r="T64" s="40" t="e">
        <f t="shared" si="9"/>
        <v>#N/A</v>
      </c>
      <c r="U64" s="39" cm="1">
        <f t="array" ref="U64">ktot_2*N64</f>
        <v>1.7028068374245444E-5</v>
      </c>
      <c r="V64" s="139">
        <f t="shared" si="8"/>
        <v>28.788060189811855</v>
      </c>
    </row>
    <row r="65" spans="1:22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1"/>
      <c r="M65" s="159">
        <f t="shared" si="6"/>
        <v>5.4999999999999964</v>
      </c>
      <c r="N65" s="39">
        <f t="shared" si="1"/>
        <v>-1.113332103655777E-6</v>
      </c>
      <c r="O65" s="39">
        <f t="shared" si="2"/>
        <v>1.7725164615274157E-4</v>
      </c>
      <c r="P65" s="39">
        <f t="shared" si="3"/>
        <v>3.3234683653639047E-4</v>
      </c>
      <c r="Q65" s="39">
        <f t="shared" si="4"/>
        <v>8.1947131832058051E-4</v>
      </c>
      <c r="R65" s="40" cm="1">
        <f t="array" ref="R65">(O65/WSchiene_2)*10^6*(1+3*Faktor_Oberbauzustand_2*fPersonenzüge_2)</f>
        <v>1.0782517346323429E-3</v>
      </c>
      <c r="S65" s="40" cm="1">
        <f t="array" ref="S65">(O65/WSchiene_2)*10^6*(1+3*Faktor_Oberbauzustand_2*fGüterzüge_2)</f>
        <v>1.0653127138167547E-3</v>
      </c>
      <c r="T65" s="40" t="e">
        <f t="shared" si="9"/>
        <v>#N/A</v>
      </c>
      <c r="U65" s="39" cm="1">
        <f t="array" ref="U65">ktot_2*N65</f>
        <v>-2.2426671955723531E-5</v>
      </c>
      <c r="V65" s="139">
        <f t="shared" si="8"/>
        <v>28.788060189811855</v>
      </c>
    </row>
    <row r="66" spans="1:22" ht="14.65" hidden="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1"/>
      <c r="M66" s="159">
        <f t="shared" si="6"/>
        <v>5.5999999999999961</v>
      </c>
      <c r="N66" s="39">
        <f t="shared" si="1"/>
        <v>-3.589376144294406E-6</v>
      </c>
      <c r="O66" s="39">
        <f t="shared" si="2"/>
        <v>1.9761682668345304E-4</v>
      </c>
      <c r="P66" s="39">
        <f t="shared" si="3"/>
        <v>3.7053155003147448E-4</v>
      </c>
      <c r="Q66" s="39">
        <f t="shared" si="4"/>
        <v>9.1362379419072134E-4</v>
      </c>
      <c r="R66" s="40" cm="1">
        <f t="array" ref="R66">(O66/WSchiene_2)*10^6*(1+3*Faktor_Oberbauzustand_2*fPersonenzüge_2)</f>
        <v>1.2021365713035807E-3</v>
      </c>
      <c r="S66" s="40" cm="1">
        <f t="array" ref="S66">(O66/WSchiene_2)*10^6*(1+3*Faktor_Oberbauzustand_2*fGüterzüge_2)</f>
        <v>1.1877109324479377E-3</v>
      </c>
      <c r="T66" s="40" t="e">
        <f t="shared" si="9"/>
        <v>#N/A</v>
      </c>
      <c r="U66" s="39" cm="1">
        <f t="array" ref="U66">ktot_2*N66</f>
        <v>-7.2303458284787698E-5</v>
      </c>
      <c r="V66" s="139">
        <f t="shared" si="8"/>
        <v>28.788060189811855</v>
      </c>
    </row>
    <row r="67" spans="1:22" ht="14.65" hidden="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1"/>
      <c r="M67" s="159">
        <f t="shared" si="6"/>
        <v>5.6999999999999957</v>
      </c>
      <c r="N67" s="39">
        <f t="shared" si="1"/>
        <v>-6.6420566564859299E-6</v>
      </c>
      <c r="O67" s="39">
        <f t="shared" si="2"/>
        <v>2.1676081182170673E-4</v>
      </c>
      <c r="P67" s="39">
        <f t="shared" si="3"/>
        <v>4.0642652216570015E-4</v>
      </c>
      <c r="Q67" s="39">
        <f t="shared" si="4"/>
        <v>1.0021304291341043E-3</v>
      </c>
      <c r="R67" s="40" cm="1">
        <f t="array" ref="R67">(O67/WSchiene_2)*10^6*(1+3*Faktor_Oberbauzustand_2*fPersonenzüge_2)</f>
        <v>1.3185926699132951E-3</v>
      </c>
      <c r="S67" s="40" cm="1">
        <f t="array" ref="S67">(O67/WSchiene_2)*10^6*(1+3*Faktor_Oberbauzustand_2*fGüterzüge_2)</f>
        <v>1.3027695578743355E-3</v>
      </c>
      <c r="T67" s="40" t="e">
        <f t="shared" si="9"/>
        <v>#N/A</v>
      </c>
      <c r="U67" s="39" cm="1">
        <f t="array" ref="U67">ktot_2*N67</f>
        <v>-1.3379585952584316E-4</v>
      </c>
      <c r="V67" s="139">
        <f t="shared" si="8"/>
        <v>28.788060189811855</v>
      </c>
    </row>
    <row r="68" spans="1:22" ht="14.65" hidden="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1"/>
      <c r="M68" s="159">
        <f t="shared" si="6"/>
        <v>5.7999999999999954</v>
      </c>
      <c r="N68" s="39">
        <f t="shared" si="1"/>
        <v>-1.0327013938345044E-5</v>
      </c>
      <c r="O68" s="39">
        <f t="shared" si="2"/>
        <v>2.3365716735286699E-4</v>
      </c>
      <c r="P68" s="39">
        <f t="shared" si="3"/>
        <v>4.3810718878662552E-4</v>
      </c>
      <c r="Q68" s="39">
        <f t="shared" si="4"/>
        <v>1.0802458037580535E-3</v>
      </c>
      <c r="R68" s="40" cm="1">
        <f t="array" ref="R68">(O68/WSchiene_2)*10^6*(1+3*Faktor_Oberbauzustand_2*fPersonenzüge_2)</f>
        <v>1.4213760575763862E-3</v>
      </c>
      <c r="S68" s="40" cm="1">
        <f t="array" ref="S68">(O68/WSchiene_2)*10^6*(1+3*Faktor_Oberbauzustand_2*fGüterzüge_2)</f>
        <v>1.4043195448854697E-3</v>
      </c>
      <c r="T68" s="40" t="e">
        <f t="shared" si="9"/>
        <v>#N/A</v>
      </c>
      <c r="U68" s="39" cm="1">
        <f t="array" ref="U68">ktot_2*N68</f>
        <v>-2.0802467935394746E-4</v>
      </c>
      <c r="V68" s="139">
        <f t="shared" si="8"/>
        <v>28.788060189811855</v>
      </c>
    </row>
    <row r="69" spans="1:22" ht="14.65" hidden="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1"/>
      <c r="M69" s="159">
        <f t="shared" si="6"/>
        <v>5.899999999999995</v>
      </c>
      <c r="N69" s="39">
        <f t="shared" si="1"/>
        <v>-1.4693274834174566E-5</v>
      </c>
      <c r="O69" s="39">
        <f t="shared" si="2"/>
        <v>2.4706736958001358E-4</v>
      </c>
      <c r="P69" s="39">
        <f t="shared" si="3"/>
        <v>4.6325131796252553E-4</v>
      </c>
      <c r="Q69" s="39">
        <f t="shared" si="4"/>
        <v>1.1422439647712139E-3</v>
      </c>
      <c r="R69" s="40" cm="1">
        <f t="array" ref="R69">(O69/WSchiene_2)*10^6*(1+3*Faktor_Oberbauzustand_2*fPersonenzüge_2)</f>
        <v>1.5029525852252815E-3</v>
      </c>
      <c r="S69" s="40" cm="1">
        <f t="array" ref="S69">(O69/WSchiene_2)*10^6*(1+3*Faktor_Oberbauzustand_2*fGüterzüge_2)</f>
        <v>1.4849171542025781E-3</v>
      </c>
      <c r="T69" s="40" t="e">
        <f t="shared" si="9"/>
        <v>#N/A</v>
      </c>
      <c r="U69" s="39" cm="1">
        <f t="array" ref="U69">ktot_2*N69</f>
        <v>-2.9597750175288517E-4</v>
      </c>
      <c r="V69" s="139">
        <f t="shared" si="8"/>
        <v>28.788060189811855</v>
      </c>
    </row>
    <row r="70" spans="1:22" ht="14.65" hidden="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1"/>
      <c r="M70" s="159">
        <f t="shared" si="6"/>
        <v>5.9999999999999947</v>
      </c>
      <c r="N70" s="39">
        <f t="shared" si="1"/>
        <v>-1.9779632939561119E-5</v>
      </c>
      <c r="O70" s="39">
        <f t="shared" si="2"/>
        <v>2.5552444679638301E-4</v>
      </c>
      <c r="P70" s="39">
        <f t="shared" si="3"/>
        <v>4.7910833774321817E-4</v>
      </c>
      <c r="Q70" s="39">
        <f t="shared" si="4"/>
        <v>1.1813427960997828E-3</v>
      </c>
      <c r="R70" s="40" cm="1">
        <f t="array" ref="R70">(O70/WSchiene_2)*10^6*(1+3*Faktor_Oberbauzustand_2*fPersonenzüge_2)</f>
        <v>1.554398415920767E-3</v>
      </c>
      <c r="S70" s="40" cm="1">
        <f t="array" ref="S70">(O70/WSchiene_2)*10^6*(1+3*Faktor_Oberbauzustand_2*fGüterzüge_2)</f>
        <v>1.5357456349297178E-3</v>
      </c>
      <c r="T70" s="40" t="e">
        <f t="shared" si="9"/>
        <v>#N/A</v>
      </c>
      <c r="U70" s="39" cm="1">
        <f t="array" ref="U70">ktot_2*N70</f>
        <v>-3.9843577480930297E-4</v>
      </c>
      <c r="V70" s="139">
        <f t="shared" si="8"/>
        <v>28.788060189811855</v>
      </c>
    </row>
    <row r="71" spans="1:22" ht="15" hidden="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231"/>
      <c r="M71" s="159">
        <f t="shared" si="6"/>
        <v>6.0999999999999943</v>
      </c>
      <c r="N71" s="39">
        <f t="shared" si="1"/>
        <v>-2.5610362702998305E-5</v>
      </c>
      <c r="O71" s="39">
        <f t="shared" si="2"/>
        <v>2.573200750060198E-4</v>
      </c>
      <c r="P71" s="39">
        <f t="shared" si="3"/>
        <v>4.8247514063628707E-4</v>
      </c>
      <c r="Q71" s="39">
        <f t="shared" si="4"/>
        <v>1.1896443597134527E-3</v>
      </c>
      <c r="R71" s="40" cm="1">
        <f t="array" ref="R71">(O71/WSchiene_2)*10^6*(1+3*Faktor_Oberbauzustand_2*fPersonenzüge_2)</f>
        <v>1.5653215259387536E-3</v>
      </c>
      <c r="S71" s="40" cm="1">
        <f t="array" ref="S71">(O71/WSchiene_2)*10^6*(1+3*Faktor_Oberbauzustand_2*fGüterzüge_2)</f>
        <v>1.5465376676274886E-3</v>
      </c>
      <c r="T71" s="40" t="e">
        <f t="shared" si="9"/>
        <v>#N/A</v>
      </c>
      <c r="U71" s="39" cm="1">
        <f t="array" ref="U71">ktot_2*N71</f>
        <v>-5.1588847669196524E-4</v>
      </c>
      <c r="V71" s="139">
        <f t="shared" si="8"/>
        <v>28.788060189811855</v>
      </c>
    </row>
    <row r="72" spans="1:22" ht="14.65" hidden="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231"/>
      <c r="M72" s="159">
        <f t="shared" si="6"/>
        <v>6.199999999999994</v>
      </c>
      <c r="N72" s="39">
        <f t="shared" ref="N72:N143" si="10">(1/(ESchiene_1*ISchiene_1))*((Achslast_2_2*10^3/2)/(8*(1/Lelastisch_1)^3)*EXP(-(1/Lelastisch_1)*ABS(M72-$D$32)*10^3)*(COS(ABS(M72-$D$32)*10^3/Lelastisch_1)+SIN(ABS(M72-$D$32)*10^3/Lelastisch_1))+(Achslast_1_2*10^3/2)/(8*(1/Lelastisch_1)^3)*EXP(-(1/Lelastisch_1)*ABS(M72-$D$31)*10^3)*(COS(ABS(M72-$D$31)*10^3/Lelastisch_1)+SIN(ABS(M72-$D$31)*10^3/Lelastisch_1)))</f>
        <v>-3.219023010088934E-5</v>
      </c>
      <c r="O72" s="39">
        <f t="shared" ref="O72:O143" si="11">((Achslast_2_2*10^3/2)/(4*(1/Lelastisch_2))*EXP(-(1/Lelastisch_2)*ABS(M72-$D$32)*10^3)*(COS(ABS(M72-$D$32)*10^3/Lelastisch_2)-SIN(ABS(M72-$D$32)*10^3/Lelastisch_2))+(Achslast_1_2*10^3/2)/(4*(1/Lelastisch_2))*EXP(-(1/Lelastisch_2)*ABS(M72-$D$31)*10^3)*(COS(ABS(M72-$D$31)*10^3/Lelastisch_2)-SIN(ABS(M72-$D$31)*10^3/Lelastisch_2)))*10^-6</f>
        <v>2.5049656784306744E-4</v>
      </c>
      <c r="P72" s="39">
        <f t="shared" ref="P72:P143" si="12">((Achslast_2_2*10^3*kd_2*kq_2/2)/(4*(1/Lelastisch_2))*EXP(-(1/Lelastisch_2)*ABS(M72-$D$32)*10^3)*(COS(ABS(M72-$D$32)*10^3/Lelastisch_2)-SIN(ABS(M72-$D$32)*10^3/Lelastisch_2))+(Achslast_1_2*10^3*kd_2*kq_2/2)/(4*(1/Lelastisch_2))*EXP(-(1/Lelastisch_2)*ABS(M72-$D$31)*10^3)*(COS(ABS(M72-$D$31)*10^3/Lelastisch_2)-SIN(ABS(M72-$D$31)*10^3/Lelastisch_2)))*10^-6</f>
        <v>4.6968106470575145E-4</v>
      </c>
      <c r="Q72" s="39">
        <f t="shared" ref="Q72:Q143" si="13">O72/WSchiene_1*10^6</f>
        <v>1.1580978633521379E-3</v>
      </c>
      <c r="R72" s="40" cm="1">
        <f t="array" ref="R72">(O72/WSchiene_2)*10^6*(1+3*Faktor_Oberbauzustand_2*fPersonenzüge_2)</f>
        <v>1.5238129780949185E-3</v>
      </c>
      <c r="S72" s="40" cm="1">
        <f t="array" ref="S72">(O72/WSchiene_2)*10^6*(1+3*Faktor_Oberbauzustand_2*fGüterzüge_2)</f>
        <v>1.5055272223577793E-3</v>
      </c>
      <c r="T72" s="40" t="e">
        <f t="shared" si="9"/>
        <v>#N/A</v>
      </c>
      <c r="U72" s="39" cm="1">
        <f t="array" ref="U72">ktot_2*N72</f>
        <v>-6.4843161198835549E-4</v>
      </c>
      <c r="V72" s="139">
        <f t="shared" ref="V72:V103" si="14">MAX($U$8:$U$338)</f>
        <v>28.788060189811855</v>
      </c>
    </row>
    <row r="73" spans="1:22" ht="14.65" hidden="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231"/>
      <c r="M73" s="159">
        <f t="shared" ref="M73:M144" si="15">MIN(M72+Dx,LSchiene)</f>
        <v>6.2999999999999936</v>
      </c>
      <c r="N73" s="39">
        <f t="shared" si="10"/>
        <v>-3.9498776908531513E-5</v>
      </c>
      <c r="O73" s="39">
        <f t="shared" si="11"/>
        <v>2.3284543640044852E-4</v>
      </c>
      <c r="P73" s="39">
        <f t="shared" si="12"/>
        <v>4.3658519325084108E-4</v>
      </c>
      <c r="Q73" s="39">
        <f t="shared" si="13"/>
        <v>1.0764930023136779E-3</v>
      </c>
      <c r="R73" s="40" cm="1">
        <f t="array" ref="R73">(O73/WSchiene_2)*10^6*(1+3*Faktor_Oberbauzustand_2*fPersonenzüge_2)</f>
        <v>1.41643816093905E-3</v>
      </c>
      <c r="S73" s="40" cm="1">
        <f t="array" ref="S73">(O73/WSchiene_2)*10^6*(1+3*Faktor_Oberbauzustand_2*fGüterzüge_2)</f>
        <v>1.3994409030077812E-3</v>
      </c>
      <c r="T73" s="40" t="e">
        <f t="shared" si="9"/>
        <v>#N/A</v>
      </c>
      <c r="U73" s="39" cm="1">
        <f t="array" ref="U73">ktot_2*N73</f>
        <v>-7.9565307554791027E-4</v>
      </c>
      <c r="V73" s="139">
        <f t="shared" si="14"/>
        <v>28.788060189811855</v>
      </c>
    </row>
    <row r="74" spans="1:22" ht="14.65" hidden="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231"/>
      <c r="M74" s="159">
        <f t="shared" si="15"/>
        <v>6.3999999999999932</v>
      </c>
      <c r="N74" s="39">
        <f t="shared" si="10"/>
        <v>-4.7483874829446439E-5</v>
      </c>
      <c r="O74" s="39">
        <f t="shared" si="11"/>
        <v>2.0191443801628067E-4</v>
      </c>
      <c r="P74" s="39">
        <f t="shared" si="12"/>
        <v>3.7858957128052622E-4</v>
      </c>
      <c r="Q74" s="39">
        <f t="shared" si="13"/>
        <v>9.3349254746315626E-4</v>
      </c>
      <c r="R74" s="40" cm="1">
        <f t="array" ref="R74">(O74/WSchiene_2)*10^6*(1+3*Faktor_Oberbauzustand_2*fPersonenzüge_2)</f>
        <v>1.2282796677146794E-3</v>
      </c>
      <c r="S74" s="40" cm="1">
        <f t="array" ref="S74">(O74/WSchiene_2)*10^6*(1+3*Faktor_Oberbauzustand_2*fGüterzüge_2)</f>
        <v>1.2135403117021031E-3</v>
      </c>
      <c r="T74" s="40" t="e">
        <f t="shared" si="9"/>
        <v>#N/A</v>
      </c>
      <c r="U74" s="39" cm="1">
        <f t="array" ref="U74">ktot_2*N74</f>
        <v>-9.5650280854191834E-4</v>
      </c>
      <c r="V74" s="139">
        <f t="shared" si="14"/>
        <v>28.788060189811855</v>
      </c>
    </row>
    <row r="75" spans="1:22" ht="14.65" hidden="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231"/>
      <c r="M75" s="159">
        <f t="shared" si="15"/>
        <v>6.4999999999999929</v>
      </c>
      <c r="N75" s="39">
        <f t="shared" si="10"/>
        <v>-5.605457058802533E-5</v>
      </c>
      <c r="O75" s="39">
        <f t="shared" si="11"/>
        <v>1.5502527750207391E-4</v>
      </c>
      <c r="P75" s="39">
        <f t="shared" si="12"/>
        <v>2.9067239531638863E-4</v>
      </c>
      <c r="Q75" s="39">
        <f t="shared" si="13"/>
        <v>7.1671418170168237E-4</v>
      </c>
      <c r="R75" s="40" cm="1">
        <f t="array" ref="R75">(O75/WSchiene_2)*10^6*(1+3*Faktor_Oberbauzustand_2*fPersonenzüge_2)</f>
        <v>9.4304497592326633E-4</v>
      </c>
      <c r="S75" s="40" cm="1">
        <f t="array" ref="S75">(O75/WSchiene_2)*10^6*(1+3*Faktor_Oberbauzustand_2*fGüterzüge_2)</f>
        <v>9.3172843621218708E-4</v>
      </c>
      <c r="T75" s="40" t="e">
        <f t="shared" si="9"/>
        <v>#N/A</v>
      </c>
      <c r="U75" s="39" cm="1">
        <f t="array" ref="U75">ktot_2*N75</f>
        <v>-1.1291486718730888E-3</v>
      </c>
      <c r="V75" s="139">
        <f t="shared" si="14"/>
        <v>28.788060189811855</v>
      </c>
    </row>
    <row r="76" spans="1:22" ht="14.65" hidden="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1"/>
      <c r="M76" s="159">
        <f t="shared" si="15"/>
        <v>6.5999999999999925</v>
      </c>
      <c r="N76" s="39">
        <f t="shared" si="10"/>
        <v>-6.507327424749054E-5</v>
      </c>
      <c r="O76" s="39">
        <f t="shared" si="11"/>
        <v>8.9304361470211345E-5</v>
      </c>
      <c r="P76" s="39">
        <f t="shared" si="12"/>
        <v>1.6744567775664625E-4</v>
      </c>
      <c r="Q76" s="39">
        <f t="shared" si="13"/>
        <v>4.1287268363481895E-4</v>
      </c>
      <c r="R76" s="40" cm="1">
        <f t="array" ref="R76">(O76/WSchiene_2)*10^6*(1+3*Faktor_Oberbauzustand_2*fPersonenzüge_2)</f>
        <v>5.4325353109844598E-4</v>
      </c>
      <c r="S76" s="40" cm="1">
        <f t="array" ref="S76">(O76/WSchiene_2)*10^6*(1+3*Faktor_Oberbauzustand_2*fGüterzüge_2)</f>
        <v>5.3673448872526466E-4</v>
      </c>
      <c r="T76" s="40" t="e">
        <f t="shared" si="9"/>
        <v>#N/A</v>
      </c>
      <c r="U76" s="39" cm="1">
        <f t="array" ref="U76">ktot_2*N76</f>
        <v>-1.3108190896869317E-3</v>
      </c>
      <c r="V76" s="139">
        <f t="shared" si="14"/>
        <v>28.788060189811855</v>
      </c>
    </row>
    <row r="77" spans="1:22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1"/>
      <c r="M77" s="159">
        <f t="shared" si="15"/>
        <v>6.6999999999999922</v>
      </c>
      <c r="N77" s="39">
        <f t="shared" si="10"/>
        <v>-7.4347381176504773E-5</v>
      </c>
      <c r="O77" s="39">
        <f t="shared" si="11"/>
        <v>1.7292258497238233E-6</v>
      </c>
      <c r="P77" s="39">
        <f t="shared" si="12"/>
        <v>3.2422984682321711E-6</v>
      </c>
      <c r="Q77" s="39">
        <f t="shared" si="13"/>
        <v>7.9945716584550312E-6</v>
      </c>
      <c r="R77" s="40" cm="1">
        <f t="array" ref="R77">(O77/WSchiene_2)*10^6*(1+3*Faktor_Oberbauzustand_2*fPersonenzüge_2)</f>
        <v>1.0519173234809253E-5</v>
      </c>
      <c r="S77" s="40" cm="1">
        <f t="array" ref="S77">(O77/WSchiene_2)*10^6*(1+3*Faktor_Oberbauzustand_2*fGüterzüge_2)</f>
        <v>1.039294315599154E-5</v>
      </c>
      <c r="T77" s="40" t="e">
        <f t="shared" si="9"/>
        <v>#N/A</v>
      </c>
      <c r="U77" s="39" cm="1">
        <f t="array" ref="U77">ktot_2*N77</f>
        <v>-1.497634284448989E-3</v>
      </c>
      <c r="V77" s="139">
        <f t="shared" si="14"/>
        <v>28.788060189811855</v>
      </c>
    </row>
    <row r="78" spans="1:22" ht="18">
      <c r="A78" s="221" t="s">
        <v>129</v>
      </c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1"/>
      <c r="M78" s="159">
        <f t="shared" si="15"/>
        <v>6.7999999999999918</v>
      </c>
      <c r="N78" s="39">
        <f t="shared" si="10"/>
        <v>-8.3620463890887064E-5</v>
      </c>
      <c r="O78" s="39">
        <f t="shared" si="11"/>
        <v>-1.108065544606774E-4</v>
      </c>
      <c r="P78" s="39">
        <f t="shared" si="12"/>
        <v>-2.0776228961377012E-4</v>
      </c>
      <c r="Q78" s="39">
        <f t="shared" si="13"/>
        <v>-5.1228180518112529E-4</v>
      </c>
      <c r="R78" s="40" cm="1">
        <f t="array" ref="R78">(O78/WSchiene_2)*10^6*(1+3*Faktor_Oberbauzustand_2*fPersonenzüge_2)</f>
        <v>-6.7405500681727017E-4</v>
      </c>
      <c r="S78" s="40" cm="1">
        <f t="array" ref="S78">(O78/WSchiene_2)*10^6*(1+3*Faktor_Oberbauzustand_2*fGüterzüge_2)</f>
        <v>-6.6596634673546286E-4</v>
      </c>
      <c r="T78" s="40" t="e">
        <f t="shared" si="9"/>
        <v>#N/A</v>
      </c>
      <c r="U78" s="39" cm="1">
        <f t="array" ref="U78">ktot_2*N78</f>
        <v>-1.6844288476982319E-3</v>
      </c>
      <c r="V78" s="139">
        <f t="shared" si="14"/>
        <v>28.788060189811855</v>
      </c>
    </row>
    <row r="79" spans="1:22">
      <c r="A79" s="208" t="s">
        <v>130</v>
      </c>
      <c r="B79" s="208"/>
      <c r="C79" s="208"/>
      <c r="D79" s="208"/>
      <c r="E79" s="208"/>
      <c r="F79" s="208"/>
      <c r="G79" s="208"/>
      <c r="H79" s="208"/>
      <c r="I79" s="151"/>
      <c r="J79" s="49"/>
      <c r="K79" s="49"/>
      <c r="L79" s="1"/>
      <c r="M79" s="159">
        <f t="shared" si="15"/>
        <v>6.8999999999999915</v>
      </c>
      <c r="N79" s="39">
        <f t="shared" si="10"/>
        <v>-9.2563223989439899E-5</v>
      </c>
      <c r="O79" s="39">
        <f t="shared" si="11"/>
        <v>-2.5140702195800577E-4</v>
      </c>
      <c r="P79" s="39">
        <f t="shared" si="12"/>
        <v>-4.7138816617126088E-4</v>
      </c>
      <c r="Q79" s="39">
        <f t="shared" si="13"/>
        <v>-1.1623070825612842E-3</v>
      </c>
      <c r="R79" s="40" cm="1">
        <f t="array" ref="R79">(O79/WSchiene_2)*10^6*(1+3*Faktor_Oberbauzustand_2*fPersonenzüge_2)</f>
        <v>-1.5293514244227426E-3</v>
      </c>
      <c r="S79" s="40" cm="1">
        <f t="array" ref="S79">(O79/WSchiene_2)*10^6*(1+3*Faktor_Oberbauzustand_2*fGüterzüge_2)</f>
        <v>-1.5109992073296696E-3</v>
      </c>
      <c r="T79" s="40" t="e">
        <f t="shared" si="9"/>
        <v>#N/A</v>
      </c>
      <c r="U79" s="39" cm="1">
        <f t="array" ref="U79">ktot_2*N79</f>
        <v>-1.8645694781987128E-3</v>
      </c>
      <c r="V79" s="139">
        <f t="shared" si="14"/>
        <v>28.788060189811855</v>
      </c>
    </row>
    <row r="80" spans="1:22">
      <c r="A80" s="228" t="s">
        <v>131</v>
      </c>
      <c r="B80" s="229">
        <v>1.25</v>
      </c>
      <c r="C80" s="208"/>
      <c r="D80" s="208"/>
      <c r="E80" s="208"/>
      <c r="F80" s="208"/>
      <c r="G80" s="208"/>
      <c r="H80" s="208"/>
      <c r="I80" s="151"/>
      <c r="J80" s="49"/>
      <c r="K80" s="49"/>
      <c r="L80" s="1"/>
      <c r="M80" s="159">
        <f t="shared" si="15"/>
        <v>6.9999999999999911</v>
      </c>
      <c r="N80" s="39">
        <f t="shared" si="10"/>
        <v>-1.0076445699761743E-4</v>
      </c>
      <c r="O80" s="39">
        <f t="shared" si="11"/>
        <v>-4.2306302828202716E-4</v>
      </c>
      <c r="P80" s="39">
        <f t="shared" si="12"/>
        <v>-7.932431780288008E-4</v>
      </c>
      <c r="Q80" s="39">
        <f t="shared" si="13"/>
        <v>-1.9559085912252759E-3</v>
      </c>
      <c r="R80" s="40" cm="1">
        <f t="array" ref="R80">(O80/WSchiene_2)*10^6*(1+3*Faktor_Oberbauzustand_2*fPersonenzüge_2)</f>
        <v>-2.5735639358227314E-3</v>
      </c>
      <c r="S80" s="40" cm="1">
        <f t="array" ref="S80">(O80/WSchiene_2)*10^6*(1+3*Faktor_Oberbauzustand_2*fGüterzüge_2)</f>
        <v>-2.5426811685928586E-3</v>
      </c>
      <c r="T80" s="40" t="e">
        <f t="shared" si="9"/>
        <v>#N/A</v>
      </c>
      <c r="U80" s="39" cm="1">
        <f t="array" ref="U80">ktot_2*N80</f>
        <v>-2.0297729801034021E-3</v>
      </c>
      <c r="V80" s="139">
        <f t="shared" si="14"/>
        <v>28.788060189811855</v>
      </c>
    </row>
    <row r="81" spans="1:22">
      <c r="A81" s="208" t="s">
        <v>132</v>
      </c>
      <c r="B81" s="208"/>
      <c r="C81" s="208"/>
      <c r="D81" s="208"/>
      <c r="E81" s="208"/>
      <c r="F81" s="208"/>
      <c r="G81" s="208"/>
      <c r="H81" s="208"/>
      <c r="I81" s="151"/>
      <c r="J81" s="49"/>
      <c r="K81" s="49"/>
      <c r="L81" s="222"/>
      <c r="M81" s="159">
        <f t="shared" si="15"/>
        <v>7.0999999999999908</v>
      </c>
      <c r="N81" s="39">
        <f t="shared" si="10"/>
        <v>-1.0772235435460403E-4</v>
      </c>
      <c r="O81" s="39">
        <f t="shared" si="11"/>
        <v>-6.28513937038898E-4</v>
      </c>
      <c r="P81" s="39">
        <f t="shared" si="12"/>
        <v>-1.1784636319479339E-3</v>
      </c>
      <c r="Q81" s="39">
        <f t="shared" si="13"/>
        <v>-2.9057509803000372E-3</v>
      </c>
      <c r="R81" s="40" cm="1">
        <f t="array" ref="R81">(O81/WSchiene_2)*10^6*(1+3*Faktor_Oberbauzustand_2*fPersonenzüge_2)</f>
        <v>-3.8233565530263651E-3</v>
      </c>
      <c r="S81" s="40" cm="1">
        <f t="array" ref="S81">(O81/WSchiene_2)*10^6*(1+3*Faktor_Oberbauzustand_2*fGüterzüge_2)</f>
        <v>-3.7774762743900485E-3</v>
      </c>
      <c r="T81" s="40" t="e">
        <f t="shared" si="9"/>
        <v>#N/A</v>
      </c>
      <c r="U81" s="39" cm="1">
        <f t="array" ref="U81">ktot_2*N81</f>
        <v>-2.1699310524470883E-3</v>
      </c>
      <c r="V81" s="139">
        <f t="shared" si="14"/>
        <v>28.788060189811855</v>
      </c>
    </row>
    <row r="82" spans="1:22">
      <c r="A82" s="228" t="s">
        <v>133</v>
      </c>
      <c r="B82" s="229">
        <v>1.5</v>
      </c>
      <c r="C82" s="208"/>
      <c r="D82" s="208"/>
      <c r="E82" s="208"/>
      <c r="F82" s="208"/>
      <c r="G82" s="208"/>
      <c r="H82" s="208"/>
      <c r="I82" s="151"/>
      <c r="J82" s="49"/>
      <c r="K82" s="49"/>
      <c r="L82" s="222"/>
      <c r="M82" s="159">
        <f t="shared" si="15"/>
        <v>7.1999999999999904</v>
      </c>
      <c r="N82" s="39">
        <f t="shared" si="10"/>
        <v>-1.1283654700396716E-4</v>
      </c>
      <c r="O82" s="39">
        <f t="shared" si="11"/>
        <v>-8.7007892883013763E-4</v>
      </c>
      <c r="P82" s="39">
        <f t="shared" si="12"/>
        <v>-1.6313979915565081E-3</v>
      </c>
      <c r="Q82" s="39">
        <f t="shared" si="13"/>
        <v>-4.022556305271094E-3</v>
      </c>
      <c r="R82" s="40" cm="1">
        <f t="array" ref="R82">(O82/WSchiene_2)*10^6*(1+3*Faktor_Oberbauzustand_2*fPersonenzüge_2)</f>
        <v>-5.2928372437777557E-3</v>
      </c>
      <c r="S82" s="40" cm="1">
        <f t="array" ref="S82">(O82/WSchiene_2)*10^6*(1+3*Faktor_Oberbauzustand_2*fGüterzüge_2)</f>
        <v>-5.2293231968524225E-3</v>
      </c>
      <c r="T82" s="40" t="e">
        <f t="shared" ref="T82:T113" si="16">IF(N82=MAX($N$8:$N$338),N82,#N/A)</f>
        <v>#N/A</v>
      </c>
      <c r="U82" s="39" cm="1">
        <f t="array" ref="U82">ktot_2*N82</f>
        <v>-2.2729500173085389E-3</v>
      </c>
      <c r="V82" s="139">
        <f t="shared" si="14"/>
        <v>28.788060189811855</v>
      </c>
    </row>
    <row r="83" spans="1:22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222"/>
      <c r="M83" s="159">
        <f t="shared" si="15"/>
        <v>7.2999999999999901</v>
      </c>
      <c r="N83" s="39">
        <f t="shared" si="10"/>
        <v>-1.1540138373190537E-4</v>
      </c>
      <c r="O83" s="39">
        <f t="shared" si="11"/>
        <v>-1.1494552510756344E-3</v>
      </c>
      <c r="P83" s="39">
        <f t="shared" si="12"/>
        <v>-2.1552285957668151E-3</v>
      </c>
      <c r="Q83" s="39">
        <f t="shared" si="13"/>
        <v>-5.314171294848056E-3</v>
      </c>
      <c r="R83" s="40" cm="1">
        <f t="array" ref="R83">(O83/WSchiene_2)*10^6*(1+3*Faktor_Oberbauzustand_2*fPersonenzüge_2)</f>
        <v>-6.9923306511158641E-3</v>
      </c>
      <c r="S83" s="40" cm="1">
        <f t="array" ref="S83">(O83/WSchiene_2)*10^6*(1+3*Faktor_Oberbauzustand_2*fGüterzüge_2)</f>
        <v>-6.9084226833024728E-3</v>
      </c>
      <c r="T83" s="40" t="e">
        <f t="shared" si="16"/>
        <v>#N/A</v>
      </c>
      <c r="U83" s="39" cm="1">
        <f t="array" ref="U83">ktot_2*N83</f>
        <v>-2.324615420406666E-3</v>
      </c>
      <c r="V83" s="139">
        <f t="shared" si="14"/>
        <v>28.788060189811855</v>
      </c>
    </row>
    <row r="84" spans="1:22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222"/>
      <c r="M84" s="159">
        <f t="shared" si="15"/>
        <v>7.3999999999999897</v>
      </c>
      <c r="N84" s="39">
        <f t="shared" si="10"/>
        <v>-1.1460103379879602E-4</v>
      </c>
      <c r="O84" s="39">
        <f t="shared" si="11"/>
        <v>-1.4674811724587854E-3</v>
      </c>
      <c r="P84" s="39">
        <f t="shared" si="12"/>
        <v>-2.7515271983602229E-3</v>
      </c>
      <c r="Q84" s="39">
        <f t="shared" si="13"/>
        <v>-6.7844714399389059E-3</v>
      </c>
      <c r="R84" s="40" cm="1">
        <f t="array" ref="R84">(O84/WSchiene_2)*10^6*(1+3*Faktor_Oberbauzustand_2*fPersonenzüge_2)</f>
        <v>-8.9269361051827721E-3</v>
      </c>
      <c r="S84" s="40" cm="1">
        <f t="array" ref="S84">(O84/WSchiene_2)*10^6*(1+3*Faktor_Oberbauzustand_2*fGüterzüge_2)</f>
        <v>-8.8198128719205772E-3</v>
      </c>
      <c r="T84" s="40" t="e">
        <f t="shared" si="16"/>
        <v>#N/A</v>
      </c>
      <c r="U84" s="39" cm="1">
        <f t="array" ref="U84">ktot_2*N84</f>
        <v>-2.3084933797858213E-3</v>
      </c>
      <c r="V84" s="139">
        <f t="shared" si="14"/>
        <v>28.788060189811855</v>
      </c>
    </row>
    <row r="85" spans="1:22">
      <c r="A85" s="230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222"/>
      <c r="M85" s="159">
        <f t="shared" si="15"/>
        <v>7.4999999999999893</v>
      </c>
      <c r="N85" s="39">
        <f t="shared" si="10"/>
        <v>-1.0950710630334691E-4</v>
      </c>
      <c r="O85" s="39">
        <f t="shared" si="11"/>
        <v>-1.8238620171711331E-3</v>
      </c>
      <c r="P85" s="39">
        <f t="shared" si="12"/>
        <v>-3.4197412821958743E-3</v>
      </c>
      <c r="Q85" s="39">
        <f t="shared" si="13"/>
        <v>-8.4320943928392657E-3</v>
      </c>
      <c r="R85" s="40" cm="1">
        <f t="array" ref="R85">(O85/WSchiene_2)*10^6*(1+3*Faktor_Oberbauzustand_2*fPersonenzüge_2)</f>
        <v>-1.109486104320956E-2</v>
      </c>
      <c r="S85" s="40" cm="1">
        <f t="array" ref="S85">(O85/WSchiene_2)*10^6*(1+3*Faktor_Oberbauzustand_2*fGüterzüge_2)</f>
        <v>-1.0961722710691046E-2</v>
      </c>
      <c r="T85" s="40" t="e">
        <f t="shared" si="16"/>
        <v>#N/A</v>
      </c>
      <c r="U85" s="39" cm="1">
        <f t="array" ref="U85">ktot_2*N85</f>
        <v>-2.2058826309072472E-3</v>
      </c>
      <c r="V85" s="139">
        <f t="shared" si="14"/>
        <v>28.788060189811855</v>
      </c>
    </row>
    <row r="86" spans="1:22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1"/>
      <c r="M86" s="159">
        <f t="shared" si="15"/>
        <v>7.599999999999989</v>
      </c>
      <c r="N86" s="39">
        <f t="shared" si="10"/>
        <v>-9.907958629923707E-5</v>
      </c>
      <c r="O86" s="39">
        <f t="shared" si="11"/>
        <v>-2.2168585020873126E-3</v>
      </c>
      <c r="P86" s="39">
        <f t="shared" si="12"/>
        <v>-4.1566096914137122E-3</v>
      </c>
      <c r="Q86" s="39">
        <f t="shared" si="13"/>
        <v>-1.024899908500838E-2</v>
      </c>
      <c r="R86" s="40" cm="1">
        <f t="array" ref="R86">(O86/WSchiene_2)*10^6*(1+3*Faktor_Oberbauzustand_2*fPersonenzüge_2)</f>
        <v>-1.3485525111853133E-2</v>
      </c>
      <c r="S86" s="40" cm="1">
        <f t="array" ref="S86">(O86/WSchiene_2)*10^6*(1+3*Faktor_Oberbauzustand_2*fGüterzüge_2)</f>
        <v>-1.3323698810510895E-2</v>
      </c>
      <c r="T86" s="40" t="e">
        <f t="shared" si="16"/>
        <v>#N/A</v>
      </c>
      <c r="U86" s="39" cm="1">
        <f t="array" ref="U86">ktot_2*N86</f>
        <v>-1.9958333835388988E-3</v>
      </c>
      <c r="V86" s="139">
        <f t="shared" si="14"/>
        <v>28.788060189811855</v>
      </c>
    </row>
    <row r="87" spans="1:22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1"/>
      <c r="M87" s="159">
        <f t="shared" si="15"/>
        <v>7.6999999999999886</v>
      </c>
      <c r="N87" s="39">
        <f t="shared" si="10"/>
        <v>-8.2171997467411046E-5</v>
      </c>
      <c r="O87" s="39">
        <f t="shared" si="11"/>
        <v>-2.6429377166071106E-3</v>
      </c>
      <c r="P87" s="39">
        <f t="shared" si="12"/>
        <v>-4.955508218638334E-3</v>
      </c>
      <c r="Q87" s="39">
        <f t="shared" si="13"/>
        <v>-1.221885213410592E-2</v>
      </c>
      <c r="R87" s="40" cm="1">
        <f t="array" ref="R87">(O87/WSchiene_2)*10^6*(1+3*Faktor_Oberbauzustand_2*fPersonenzüge_2)</f>
        <v>-1.6077437018560421E-2</v>
      </c>
      <c r="S87" s="40" cm="1">
        <f t="array" ref="S87">(O87/WSchiene_2)*10^6*(1+3*Faktor_Oberbauzustand_2*fGüterzüge_2)</f>
        <v>-1.5884507774337697E-2</v>
      </c>
      <c r="T87" s="40" t="e">
        <f t="shared" si="16"/>
        <v>#N/A</v>
      </c>
      <c r="U87" s="39" cm="1">
        <f t="array" ref="U87">ktot_2*N87</f>
        <v>-1.6552513172816471E-3</v>
      </c>
      <c r="V87" s="139">
        <f t="shared" si="14"/>
        <v>28.788060189811855</v>
      </c>
    </row>
    <row r="88" spans="1:22" ht="35.5">
      <c r="A88" s="227" t="s">
        <v>134</v>
      </c>
      <c r="B88" s="209">
        <f>MAX(P8:P318)</f>
        <v>24.470674311525887</v>
      </c>
      <c r="C88" s="210" t="s">
        <v>135</v>
      </c>
      <c r="D88" s="49"/>
      <c r="E88" s="49"/>
      <c r="F88" s="49"/>
      <c r="G88" s="49"/>
      <c r="H88" s="49"/>
      <c r="I88" s="49"/>
      <c r="J88" s="49"/>
      <c r="K88" s="49"/>
      <c r="L88" s="1"/>
      <c r="M88" s="159">
        <f t="shared" si="15"/>
        <v>7.7999999999999883</v>
      </c>
      <c r="N88" s="39">
        <f t="shared" si="10"/>
        <v>-5.75418098643077E-5</v>
      </c>
      <c r="O88" s="39">
        <f t="shared" si="11"/>
        <v>-3.0963885069260739E-3</v>
      </c>
      <c r="P88" s="39">
        <f t="shared" si="12"/>
        <v>-5.8057284504863891E-3</v>
      </c>
      <c r="Q88" s="39">
        <f t="shared" si="13"/>
        <v>-1.4315249685280047E-2</v>
      </c>
      <c r="R88" s="40" cm="1">
        <f t="array" ref="R88">(O88/WSchiene_2)*10^6*(1+3*Faktor_Oberbauzustand_2*fPersonenzüge_2)</f>
        <v>-1.8835854849052695E-2</v>
      </c>
      <c r="S88" s="40" cm="1">
        <f t="array" ref="S88">(O88/WSchiene_2)*10^6*(1+3*Faktor_Oberbauzustand_2*fGüterzüge_2)</f>
        <v>-1.860982459086406E-2</v>
      </c>
      <c r="T88" s="40" t="e">
        <f t="shared" si="16"/>
        <v>#N/A</v>
      </c>
      <c r="U88" s="39" cm="1">
        <f t="array" ref="U88">ktot_2*N88</f>
        <v>-1.1591072325391565E-3</v>
      </c>
      <c r="V88" s="139">
        <f t="shared" si="14"/>
        <v>28.788060189811855</v>
      </c>
    </row>
    <row r="89" spans="1:22">
      <c r="A89" s="227" t="s">
        <v>136</v>
      </c>
      <c r="B89" s="209">
        <f>MAX(Q8:Q338)</f>
        <v>60.337615808971208</v>
      </c>
      <c r="C89" s="210" t="s">
        <v>137</v>
      </c>
      <c r="D89" s="49"/>
      <c r="E89" s="49"/>
      <c r="F89" s="49"/>
      <c r="G89" s="49"/>
      <c r="H89" s="49"/>
      <c r="I89" s="49"/>
      <c r="J89" s="49"/>
      <c r="K89" s="49"/>
      <c r="L89" s="1"/>
      <c r="M89" s="159">
        <f t="shared" si="15"/>
        <v>7.8999999999999879</v>
      </c>
      <c r="N89" s="39">
        <f t="shared" si="10"/>
        <v>-2.3867214756872489E-5</v>
      </c>
      <c r="O89" s="39">
        <f t="shared" si="11"/>
        <v>-3.5689047903228101E-3</v>
      </c>
      <c r="P89" s="39">
        <f t="shared" si="12"/>
        <v>-6.6916964818552688E-3</v>
      </c>
      <c r="Q89" s="39">
        <f t="shared" si="13"/>
        <v>-1.6499790986235833E-2</v>
      </c>
      <c r="R89" s="40" cm="1">
        <f t="array" ref="R89">(O89/WSchiene_2)*10^6*(1+3*Faktor_Oberbauzustand_2*fPersonenzüge_2)</f>
        <v>-2.1710251297678729E-2</v>
      </c>
      <c r="S89" s="40" cm="1">
        <f t="array" ref="S89">(O89/WSchiene_2)*10^6*(1+3*Faktor_Oberbauzustand_2*fGüterzüge_2)</f>
        <v>-2.1449728282106582E-2</v>
      </c>
      <c r="T89" s="40" t="e">
        <f t="shared" si="16"/>
        <v>#N/A</v>
      </c>
      <c r="U89" s="39" cm="1">
        <f t="array" ref="U89">ktot_2*N89</f>
        <v>-4.8077495842577164E-4</v>
      </c>
      <c r="V89" s="139">
        <f t="shared" si="14"/>
        <v>28.788060189811855</v>
      </c>
    </row>
    <row r="90" spans="1:22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1"/>
      <c r="M90" s="159">
        <f t="shared" si="15"/>
        <v>7.9999999999999876</v>
      </c>
      <c r="N90" s="39">
        <f t="shared" si="10"/>
        <v>2.0228518338581939E-5</v>
      </c>
      <c r="O90" s="39">
        <f t="shared" si="11"/>
        <v>-4.0491424652803667E-3</v>
      </c>
      <c r="P90" s="39">
        <f t="shared" si="12"/>
        <v>-7.5921421224006882E-3</v>
      </c>
      <c r="Q90" s="39">
        <f t="shared" si="13"/>
        <v>-1.8720029890339187E-2</v>
      </c>
      <c r="R90" s="40" cm="1">
        <f t="array" ref="R90">(O90/WSchiene_2)*10^6*(1+3*Faktor_Oberbauzustand_2*fPersonenzüge_2)</f>
        <v>-2.463161827676209E-2</v>
      </c>
      <c r="S90" s="40" cm="1">
        <f t="array" ref="S90">(O90/WSchiene_2)*10^6*(1+3*Faktor_Oberbauzustand_2*fGüterzüge_2)</f>
        <v>-2.4336038857440945E-2</v>
      </c>
      <c r="T90" s="40" t="e">
        <f t="shared" si="16"/>
        <v>#N/A</v>
      </c>
      <c r="U90" s="39" cm="1">
        <f t="array" ref="U90">ktot_2*N90</f>
        <v>4.0747800538587362E-4</v>
      </c>
      <c r="V90" s="139">
        <f t="shared" si="14"/>
        <v>28.788060189811855</v>
      </c>
    </row>
    <row r="91" spans="1:22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1"/>
      <c r="M91" s="159">
        <f t="shared" si="15"/>
        <v>8.0999999999999872</v>
      </c>
      <c r="N91" s="39">
        <f t="shared" si="10"/>
        <v>7.6143810830635956E-5</v>
      </c>
      <c r="O91" s="39">
        <f t="shared" si="11"/>
        <v>-4.5222581309744738E-3</v>
      </c>
      <c r="P91" s="39">
        <f t="shared" si="12"/>
        <v>-8.4792339955771373E-3</v>
      </c>
      <c r="Q91" s="39">
        <f t="shared" si="13"/>
        <v>-2.0907342260630946E-2</v>
      </c>
      <c r="R91" s="40" cm="1">
        <f t="array" ref="R91">(O91/WSchiene_2)*10^6*(1+3*Faktor_Oberbauzustand_2*fPersonenzüge_2)</f>
        <v>-2.7509660869251246E-2</v>
      </c>
      <c r="S91" s="40" cm="1">
        <f t="array" ref="S91">(O91/WSchiene_2)*10^6*(1+3*Faktor_Oberbauzustand_2*fGüterzüge_2)</f>
        <v>-2.717954493882023E-2</v>
      </c>
      <c r="T91" s="40" t="e">
        <f t="shared" si="16"/>
        <v>#N/A</v>
      </c>
      <c r="U91" s="39" cm="1">
        <f t="array" ref="U91">ktot_2*N91</f>
        <v>1.5338210955653153E-3</v>
      </c>
      <c r="V91" s="139">
        <f t="shared" si="14"/>
        <v>28.788060189811855</v>
      </c>
    </row>
    <row r="92" spans="1:22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1"/>
      <c r="M92" s="159">
        <f t="shared" si="15"/>
        <v>8.1999999999999869</v>
      </c>
      <c r="N92" s="39">
        <f t="shared" si="10"/>
        <v>1.452553264755372E-4</v>
      </c>
      <c r="O92" s="39">
        <f t="shared" si="11"/>
        <v>-4.9694408103264894E-3</v>
      </c>
      <c r="P92" s="39">
        <f t="shared" si="12"/>
        <v>-9.3177015193621655E-3</v>
      </c>
      <c r="Q92" s="39">
        <f t="shared" si="13"/>
        <v>-2.297476102786172E-2</v>
      </c>
      <c r="R92" s="40" cm="1">
        <f t="array" ref="R92">(O92/WSchiene_2)*10^6*(1+3*Faktor_Oberbauzustand_2*fPersonenzüge_2)</f>
        <v>-3.0229948720870686E-2</v>
      </c>
      <c r="S92" s="40" cm="1">
        <f t="array" ref="S92">(O92/WSchiene_2)*10^6*(1+3*Faktor_Oberbauzustand_2*fGüterzüge_2)</f>
        <v>-2.9867189336220238E-2</v>
      </c>
      <c r="T92" s="40" t="e">
        <f t="shared" si="16"/>
        <v>#N/A</v>
      </c>
      <c r="U92" s="39" cm="1">
        <f t="array" ref="U92">ktot_2*N92</f>
        <v>2.9259854682997513E-3</v>
      </c>
      <c r="V92" s="139">
        <f t="shared" si="14"/>
        <v>28.788060189811855</v>
      </c>
    </row>
    <row r="93" spans="1:22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1"/>
      <c r="M93" s="159">
        <f t="shared" si="15"/>
        <v>8.2999999999999865</v>
      </c>
      <c r="N93" s="39">
        <f t="shared" si="10"/>
        <v>2.2886294149279565E-4</v>
      </c>
      <c r="O93" s="39">
        <f t="shared" si="11"/>
        <v>-5.3674513017766892E-3</v>
      </c>
      <c r="P93" s="39">
        <f t="shared" si="12"/>
        <v>-1.0063971190831293E-2</v>
      </c>
      <c r="Q93" s="39">
        <f t="shared" si="13"/>
        <v>-2.4814846517691582E-2</v>
      </c>
      <c r="R93" s="40" cm="1">
        <f t="array" ref="R93">(O93/WSchiene_2)*10^6*(1+3*Faktor_Oberbauzustand_2*fPersonenzüge_2)</f>
        <v>-3.2651113839067873E-2</v>
      </c>
      <c r="S93" s="40" cm="1">
        <f t="array" ref="S93">(O93/WSchiene_2)*10^6*(1+3*Faktor_Oberbauzustand_2*fGüterzüge_2)</f>
        <v>-3.2259300472999061E-2</v>
      </c>
      <c r="T93" s="40" t="e">
        <f t="shared" si="16"/>
        <v>#N/A</v>
      </c>
      <c r="U93" s="39" cm="1">
        <f t="array" ref="U93">ktot_2*N93</f>
        <v>4.6101554916337852E-3</v>
      </c>
      <c r="V93" s="139">
        <f t="shared" si="14"/>
        <v>28.788060189811855</v>
      </c>
    </row>
    <row r="94" spans="1:22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1"/>
      <c r="M94" s="159">
        <f t="shared" si="15"/>
        <v>8.3999999999999861</v>
      </c>
      <c r="N94" s="39">
        <f t="shared" si="10"/>
        <v>3.2812179303540705E-4</v>
      </c>
      <c r="O94" s="39">
        <f t="shared" si="11"/>
        <v>-5.6881876724802711E-3</v>
      </c>
      <c r="P94" s="39">
        <f t="shared" si="12"/>
        <v>-1.0665351885900511E-2</v>
      </c>
      <c r="Q94" s="39">
        <f t="shared" si="13"/>
        <v>-2.6297677635137639E-2</v>
      </c>
      <c r="R94" s="40" cm="1">
        <f t="array" ref="R94">(O94/WSchiene_2)*10^6*(1+3*Faktor_Oberbauzustand_2*fPersonenzüge_2)</f>
        <v>-3.4602207414654793E-2</v>
      </c>
      <c r="S94" s="40" cm="1">
        <f t="array" ref="S94">(O94/WSchiene_2)*10^6*(1+3*Faktor_Oberbauzustand_2*fGüterzüge_2)</f>
        <v>-3.4186980925678935E-2</v>
      </c>
      <c r="T94" s="40" t="e">
        <f t="shared" si="16"/>
        <v>#N/A</v>
      </c>
      <c r="U94" s="39" cm="1">
        <f t="array" ref="U94">ktot_2*N94</f>
        <v>6.6095999475499359E-3</v>
      </c>
      <c r="V94" s="139">
        <f t="shared" si="14"/>
        <v>28.788060189811855</v>
      </c>
    </row>
    <row r="95" spans="1:22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1"/>
      <c r="M95" s="159">
        <f t="shared" si="15"/>
        <v>8.4999999999999858</v>
      </c>
      <c r="N95" s="39">
        <f t="shared" si="10"/>
        <v>4.4396014305015156E-4</v>
      </c>
      <c r="O95" s="39">
        <f t="shared" si="11"/>
        <v>-5.8982997416523065E-3</v>
      </c>
      <c r="P95" s="39">
        <f t="shared" si="12"/>
        <v>-1.1059312015598075E-2</v>
      </c>
      <c r="Q95" s="39">
        <f t="shared" si="13"/>
        <v>-2.7269069540694899E-2</v>
      </c>
      <c r="R95" s="40" cm="1">
        <f t="array" ref="R95">(O95/WSchiene_2)*10^6*(1+3*Faktor_Oberbauzustand_2*fPersonenzüge_2)</f>
        <v>-3.588035465880908E-2</v>
      </c>
      <c r="S95" s="40" cm="1">
        <f t="array" ref="S95">(O95/WSchiene_2)*10^6*(1+3*Faktor_Oberbauzustand_2*fGüterzüge_2)</f>
        <v>-3.5449790402903372E-2</v>
      </c>
      <c r="T95" s="40" t="e">
        <f t="shared" si="16"/>
        <v>#N/A</v>
      </c>
      <c r="U95" s="39" cm="1">
        <f t="array" ref="U95">ktot_2*N95</f>
        <v>8.9430175029608528E-3</v>
      </c>
      <c r="V95" s="139">
        <f t="shared" si="14"/>
        <v>28.788060189811855</v>
      </c>
    </row>
    <row r="96" spans="1:22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1"/>
      <c r="M96" s="159">
        <f t="shared" si="15"/>
        <v>8.5999999999999854</v>
      </c>
      <c r="N96" s="39">
        <f t="shared" si="10"/>
        <v>5.7698193874558144E-4</v>
      </c>
      <c r="O96" s="39">
        <f t="shared" si="11"/>
        <v>-5.9588801609586689E-3</v>
      </c>
      <c r="P96" s="39">
        <f t="shared" si="12"/>
        <v>-1.1172900301797503E-2</v>
      </c>
      <c r="Q96" s="39">
        <f t="shared" si="13"/>
        <v>-2.7549145450571747E-2</v>
      </c>
      <c r="R96" s="40" cm="1">
        <f t="array" ref="R96">(O96/WSchiene_2)*10^6*(1+3*Faktor_Oberbauzustand_2*fPersonenzüge_2)</f>
        <v>-3.6248875592857562E-2</v>
      </c>
      <c r="S96" s="40" cm="1">
        <f t="array" ref="S96">(O96/WSchiene_2)*10^6*(1+3*Faktor_Oberbauzustand_2*fGüterzüge_2)</f>
        <v>-3.5813889085743275E-2</v>
      </c>
      <c r="T96" s="40" t="e">
        <f t="shared" si="16"/>
        <v>#N/A</v>
      </c>
      <c r="U96" s="39" cm="1">
        <f t="array" ref="U96">ktot_2*N96</f>
        <v>1.1622573913152225E-2</v>
      </c>
      <c r="V96" s="139">
        <f t="shared" si="14"/>
        <v>28.788060189811855</v>
      </c>
    </row>
    <row r="97" spans="1:22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1"/>
      <c r="M97" s="159">
        <f t="shared" si="15"/>
        <v>8.6999999999999851</v>
      </c>
      <c r="N97" s="39">
        <f t="shared" si="10"/>
        <v>7.2735317575542272E-4</v>
      </c>
      <c r="O97" s="39">
        <f t="shared" si="11"/>
        <v>-5.8252648303717212E-3</v>
      </c>
      <c r="P97" s="39">
        <f t="shared" si="12"/>
        <v>-1.0922371556946977E-2</v>
      </c>
      <c r="Q97" s="39">
        <f t="shared" si="13"/>
        <v>-2.6931413917576148E-2</v>
      </c>
      <c r="R97" s="40" cm="1">
        <f t="array" ref="R97">(O97/WSchiene_2)*10^6*(1+3*Faktor_Oberbauzustand_2*fPersonenzüge_2)</f>
        <v>-3.5436070944179145E-2</v>
      </c>
      <c r="S97" s="40" cm="1">
        <f t="array" ref="S97">(O97/WSchiene_2)*10^6*(1+3*Faktor_Oberbauzustand_2*fGüterzüge_2)</f>
        <v>-3.5010838092848995E-2</v>
      </c>
      <c r="T97" s="40" t="e">
        <f t="shared" si="16"/>
        <v>#N/A</v>
      </c>
      <c r="U97" s="39" cm="1">
        <f t="array" ref="U97">ktot_2*N97</f>
        <v>1.4651612950940297E-2</v>
      </c>
      <c r="V97" s="139">
        <f t="shared" si="14"/>
        <v>28.788060189811855</v>
      </c>
    </row>
    <row r="98" spans="1:22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1"/>
      <c r="M98" s="159">
        <f t="shared" si="15"/>
        <v>8.7999999999999847</v>
      </c>
      <c r="N98" s="39">
        <f t="shared" si="10"/>
        <v>8.9467149060596534E-4</v>
      </c>
      <c r="O98" s="39">
        <f t="shared" si="11"/>
        <v>-5.4469808168693826E-3</v>
      </c>
      <c r="P98" s="39">
        <f t="shared" si="12"/>
        <v>-1.0213089031630091E-2</v>
      </c>
      <c r="Q98" s="39">
        <f t="shared" si="13"/>
        <v>-2.5182528048402139E-2</v>
      </c>
      <c r="R98" s="40" cm="1">
        <f t="array" ref="R98">(O98/WSchiene_2)*10^6*(1+3*Faktor_Oberbauzustand_2*fPersonenzüge_2)</f>
        <v>-3.3134905326844925E-2</v>
      </c>
      <c r="S98" s="40" cm="1">
        <f t="array" ref="S98">(O98/WSchiene_2)*10^6*(1+3*Faktor_Oberbauzustand_2*fGüterzüge_2)</f>
        <v>-3.2737286462922781E-2</v>
      </c>
      <c r="T98" s="40" t="e">
        <f t="shared" si="16"/>
        <v>#N/A</v>
      </c>
      <c r="U98" s="39" cm="1">
        <f t="array" ref="U98">ktot_2*N98</f>
        <v>1.8022029511296448E-2</v>
      </c>
      <c r="V98" s="139">
        <f t="shared" si="14"/>
        <v>28.788060189811855</v>
      </c>
    </row>
    <row r="99" spans="1:22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1"/>
      <c r="M99" s="159">
        <f t="shared" si="15"/>
        <v>8.8999999999999844</v>
      </c>
      <c r="N99" s="39">
        <f t="shared" si="10"/>
        <v>1.077818841090924E-3</v>
      </c>
      <c r="O99" s="39">
        <f t="shared" si="11"/>
        <v>-4.7678855617018703E-3</v>
      </c>
      <c r="P99" s="39">
        <f t="shared" si="12"/>
        <v>-8.9397854281910074E-3</v>
      </c>
      <c r="Q99" s="39">
        <f t="shared" si="13"/>
        <v>-2.2042929087849605E-2</v>
      </c>
      <c r="R99" s="40" cm="1">
        <f t="array" ref="R99">(O99/WSchiene_2)*10^6*(1+3*Faktor_Oberbauzustand_2*fPersonenzüge_2)</f>
        <v>-2.9003854062960008E-2</v>
      </c>
      <c r="S99" s="40" cm="1">
        <f t="array" ref="S99">(O99/WSchiene_2)*10^6*(1+3*Faktor_Oberbauzustand_2*fGüterzüge_2)</f>
        <v>-2.8655807814204487E-2</v>
      </c>
      <c r="T99" s="40" t="e">
        <f t="shared" si="16"/>
        <v>#N/A</v>
      </c>
      <c r="U99" s="39" cm="1">
        <f t="array" ref="U99">ktot_2*N99</f>
        <v>2.1711302043184225E-2</v>
      </c>
      <c r="V99" s="139">
        <f t="shared" si="14"/>
        <v>28.788060189811855</v>
      </c>
    </row>
    <row r="100" spans="1:22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1"/>
      <c r="M100" s="159">
        <f t="shared" si="15"/>
        <v>8.999999999999984</v>
      </c>
      <c r="N100" s="39">
        <f t="shared" si="10"/>
        <v>1.2747976929932791E-3</v>
      </c>
      <c r="O100" s="39">
        <f t="shared" si="11"/>
        <v>-3.7265468241906448E-3</v>
      </c>
      <c r="P100" s="39">
        <f t="shared" si="12"/>
        <v>-6.9872752953574592E-3</v>
      </c>
      <c r="Q100" s="39">
        <f t="shared" si="13"/>
        <v>-1.7228602978227672E-2</v>
      </c>
      <c r="R100" s="40" cm="1">
        <f t="array" ref="R100">(O100/WSchiene_2)*10^6*(1+3*Faktor_Oberbauzustand_2*fPersonenzüge_2)</f>
        <v>-2.2669214445036411E-2</v>
      </c>
      <c r="S100" s="40" cm="1">
        <f t="array" ref="S100">(O100/WSchiene_2)*10^6*(1+3*Faktor_Oberbauzustand_2*fGüterzüge_2)</f>
        <v>-2.2397183871695973E-2</v>
      </c>
      <c r="T100" s="40" t="e">
        <f t="shared" si="16"/>
        <v>#N/A</v>
      </c>
      <c r="U100" s="39" cm="1">
        <f t="array" ref="U100">ktot_2*N100</f>
        <v>2.5679192737545271E-2</v>
      </c>
      <c r="V100" s="139">
        <f t="shared" si="14"/>
        <v>28.788060189811855</v>
      </c>
    </row>
    <row r="101" spans="1:22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1"/>
      <c r="M101" s="159">
        <f t="shared" si="15"/>
        <v>9.0999999999999837</v>
      </c>
      <c r="N101" s="39">
        <f t="shared" si="10"/>
        <v>1.4825518357556573E-3</v>
      </c>
      <c r="O101" s="39">
        <f t="shared" si="11"/>
        <v>-2.2569183277435069E-3</v>
      </c>
      <c r="P101" s="39">
        <f t="shared" si="12"/>
        <v>-4.2317218645190769E-3</v>
      </c>
      <c r="Q101" s="39">
        <f t="shared" si="13"/>
        <v>-1.0434204011759164E-2</v>
      </c>
      <c r="R101" s="40" cm="1">
        <f t="array" ref="R101">(O101/WSchiene_2)*10^6*(1+3*Faktor_Oberbauzustand_2*fPersonenzüge_2)</f>
        <v>-1.3729215804946269E-2</v>
      </c>
      <c r="S101" s="40" cm="1">
        <f t="array" ref="S101">(O101/WSchiene_2)*10^6*(1+3*Faktor_Oberbauzustand_2*fGüterzüge_2)</f>
        <v>-1.3564465215286913E-2</v>
      </c>
      <c r="T101" s="40" t="e">
        <f t="shared" si="16"/>
        <v>#N/A</v>
      </c>
      <c r="U101" s="39" cm="1">
        <f t="array" ref="U101">ktot_2*N101</f>
        <v>2.9864138084827706E-2</v>
      </c>
      <c r="V101" s="139">
        <f t="shared" si="14"/>
        <v>28.788060189811855</v>
      </c>
    </row>
    <row r="102" spans="1:22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1"/>
      <c r="M102" s="159">
        <f t="shared" si="15"/>
        <v>9.1999999999999833</v>
      </c>
      <c r="N102" s="39">
        <f t="shared" si="10"/>
        <v>1.696773814239935E-3</v>
      </c>
      <c r="O102" s="39">
        <f t="shared" si="11"/>
        <v>-2.893712101106419E-4</v>
      </c>
      <c r="P102" s="39">
        <f t="shared" si="12"/>
        <v>-5.425710189574536E-4</v>
      </c>
      <c r="Q102" s="39">
        <f t="shared" si="13"/>
        <v>-1.3378234401786495E-3</v>
      </c>
      <c r="R102" s="40" cm="1">
        <f t="array" ref="R102">(O102/WSchiene_2)*10^6*(1+3*Faktor_Oberbauzustand_2*fPersonenzüge_2)</f>
        <v>-1.7602940002350654E-3</v>
      </c>
      <c r="S102" s="40" cm="1">
        <f t="array" ref="S102">(O102/WSchiene_2)*10^6*(1+3*Faktor_Oberbauzustand_2*fGüterzüge_2)</f>
        <v>-1.7391704722322444E-3</v>
      </c>
      <c r="T102" s="40" t="e">
        <f t="shared" si="16"/>
        <v>#N/A</v>
      </c>
      <c r="U102" s="39" cm="1">
        <f t="array" ref="U102">ktot_2*N102</f>
        <v>3.4179369830501287E-2</v>
      </c>
      <c r="V102" s="139">
        <f t="shared" si="14"/>
        <v>28.788060189811855</v>
      </c>
    </row>
    <row r="103" spans="1:22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1"/>
      <c r="M103" s="159">
        <f t="shared" si="15"/>
        <v>9.2999999999999829</v>
      </c>
      <c r="N103" s="39">
        <f t="shared" si="10"/>
        <v>1.9117020035576051E-3</v>
      </c>
      <c r="O103" s="39">
        <f t="shared" si="11"/>
        <v>2.2478541557996987E-3</v>
      </c>
      <c r="P103" s="39">
        <f t="shared" si="12"/>
        <v>4.214726542124435E-3</v>
      </c>
      <c r="Q103" s="39">
        <f t="shared" si="13"/>
        <v>1.0392298454922325E-2</v>
      </c>
      <c r="R103" s="40" cm="1">
        <f t="array" ref="R103">(O103/WSchiene_2)*10^6*(1+3*Faktor_Oberbauzustand_2*fPersonenzüge_2)</f>
        <v>1.3674076914371482E-2</v>
      </c>
      <c r="S103" s="40" cm="1">
        <f t="array" ref="S103">(O103/WSchiene_2)*10^6*(1+3*Faktor_Oberbauzustand_2*fGüterzüge_2)</f>
        <v>1.3509987991399023E-2</v>
      </c>
      <c r="T103" s="40" t="e">
        <f t="shared" si="16"/>
        <v>#N/A</v>
      </c>
      <c r="U103" s="39" cm="1">
        <f t="array" ref="U103">ktot_2*N103</f>
        <v>3.8508827303287259E-2</v>
      </c>
      <c r="V103" s="139">
        <f t="shared" si="14"/>
        <v>28.788060189811855</v>
      </c>
    </row>
    <row r="104" spans="1:22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1"/>
      <c r="M104" s="159">
        <f t="shared" si="15"/>
        <v>9.3999999999999826</v>
      </c>
      <c r="N104" s="39">
        <f t="shared" si="10"/>
        <v>2.1199115820432122E-3</v>
      </c>
      <c r="O104" s="39">
        <f t="shared" si="11"/>
        <v>5.4267079614516382E-3</v>
      </c>
      <c r="P104" s="39">
        <f t="shared" si="12"/>
        <v>1.0175077427721824E-2</v>
      </c>
      <c r="Q104" s="39">
        <f t="shared" si="13"/>
        <v>2.508880241077965E-2</v>
      </c>
      <c r="R104" s="40" cm="1">
        <f t="array" ref="R104">(O104/WSchiene_2)*10^6*(1+3*Faktor_Oberbauzustand_2*fPersonenzüge_2)</f>
        <v>3.3011582119446908E-2</v>
      </c>
      <c r="S104" s="40" cm="1">
        <f t="array" ref="S104">(O104/WSchiene_2)*10^6*(1+3*Faktor_Oberbauzustand_2*fGüterzüge_2)</f>
        <v>3.2615443134013544E-2</v>
      </c>
      <c r="T104" s="40" t="e">
        <f t="shared" si="16"/>
        <v>#N/A</v>
      </c>
      <c r="U104" s="39" cm="1">
        <f t="array" ref="U104">ktot_2*N104</f>
        <v>4.2702946829171237E-2</v>
      </c>
      <c r="V104" s="139">
        <f t="shared" ref="V104:V128" si="17">MAX($U$8:$U$338)</f>
        <v>28.788060189811855</v>
      </c>
    </row>
    <row r="105" spans="1:22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1"/>
      <c r="M105" s="159">
        <f t="shared" si="15"/>
        <v>9.4999999999999822</v>
      </c>
      <c r="N105" s="39">
        <f t="shared" si="10"/>
        <v>2.3121050837346534E-3</v>
      </c>
      <c r="O105" s="39">
        <f t="shared" si="11"/>
        <v>9.3168323647884153E-3</v>
      </c>
      <c r="P105" s="39">
        <f t="shared" si="12"/>
        <v>1.7469060683978282E-2</v>
      </c>
      <c r="Q105" s="39">
        <f t="shared" si="13"/>
        <v>4.3073658644421711E-2</v>
      </c>
      <c r="R105" s="40" cm="1">
        <f t="array" ref="R105">(O105/WSchiene_2)*10^6*(1+3*Faktor_Oberbauzustand_2*fPersonenzüge_2)</f>
        <v>5.6675866637396995E-2</v>
      </c>
      <c r="S105" s="40" cm="1">
        <f t="array" ref="S105">(O105/WSchiene_2)*10^6*(1+3*Faktor_Oberbauzustand_2*fGüterzüge_2)</f>
        <v>5.5995756237748225E-2</v>
      </c>
      <c r="T105" s="40" t="e">
        <f t="shared" si="16"/>
        <v>#N/A</v>
      </c>
      <c r="U105" s="39" cm="1">
        <f t="array" ref="U105">ktot_2*N105</f>
        <v>4.6574442675111925E-2</v>
      </c>
      <c r="V105" s="139">
        <f t="shared" si="17"/>
        <v>28.788060189811855</v>
      </c>
    </row>
    <row r="106" spans="1:22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1"/>
      <c r="M106" s="159">
        <f t="shared" si="15"/>
        <v>9.5999999999999819</v>
      </c>
      <c r="N106" s="39">
        <f t="shared" si="10"/>
        <v>2.4769098419639549E-3</v>
      </c>
      <c r="O106" s="39">
        <f t="shared" si="11"/>
        <v>1.3982434381583399E-2</v>
      </c>
      <c r="P106" s="39">
        <f t="shared" si="12"/>
        <v>2.6217064465468877E-2</v>
      </c>
      <c r="Q106" s="39">
        <f t="shared" si="13"/>
        <v>6.4643709577361985E-2</v>
      </c>
      <c r="R106" s="40" cm="1">
        <f t="array" ref="R106">(O106/WSchiene_2)*10^6*(1+3*Faktor_Oberbauzustand_2*fPersonenzüge_2)</f>
        <v>8.505751260179209E-2</v>
      </c>
      <c r="S106" s="40" cm="1">
        <f t="array" ref="S106">(O106/WSchiene_2)*10^6*(1+3*Faktor_Oberbauzustand_2*fGüterzüge_2)</f>
        <v>8.4036822450570578E-2</v>
      </c>
      <c r="T106" s="40" t="e">
        <f t="shared" si="16"/>
        <v>#N/A</v>
      </c>
      <c r="U106" s="39" cm="1">
        <f t="array" ref="U106">ktot_2*N106</f>
        <v>4.9894226805484602E-2</v>
      </c>
      <c r="V106" s="139">
        <f t="shared" si="17"/>
        <v>28.788060189811855</v>
      </c>
    </row>
    <row r="107" spans="1:22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1"/>
      <c r="M107" s="159">
        <f t="shared" si="15"/>
        <v>9.6999999999999815</v>
      </c>
      <c r="N107" s="39">
        <f t="shared" si="10"/>
        <v>2.6006914699960334E-3</v>
      </c>
      <c r="O107" s="39">
        <f t="shared" si="11"/>
        <v>1.9478462517579391E-2</v>
      </c>
      <c r="P107" s="39">
        <f t="shared" si="12"/>
        <v>3.6522117220461357E-2</v>
      </c>
      <c r="Q107" s="39">
        <f t="shared" si="13"/>
        <v>9.0052993608781287E-2</v>
      </c>
      <c r="R107" s="40" cm="1">
        <f t="array" ref="R107">(O107/WSchiene_2)*10^6*(1+3*Faktor_Oberbauzustand_2*fPersonenzüge_2)</f>
        <v>0.11849078106418591</v>
      </c>
      <c r="S107" s="40" cm="1">
        <f t="array" ref="S107">(O107/WSchiene_2)*10^6*(1+3*Faktor_Oberbauzustand_2*fGüterzüge_2)</f>
        <v>0.11706889169141568</v>
      </c>
      <c r="T107" s="40" t="e">
        <f t="shared" si="16"/>
        <v>#N/A</v>
      </c>
      <c r="U107" s="39" cm="1">
        <f t="array" ref="U107">ktot_2*N107</f>
        <v>5.2387651684642773E-2</v>
      </c>
      <c r="V107" s="139">
        <f t="shared" si="17"/>
        <v>28.788060189811855</v>
      </c>
    </row>
    <row r="108" spans="1:22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1"/>
      <c r="M108" s="159">
        <f t="shared" si="15"/>
        <v>9.7999999999999812</v>
      </c>
      <c r="N108" s="39">
        <f t="shared" si="10"/>
        <v>2.6673945560272481E-3</v>
      </c>
      <c r="O108" s="39">
        <f t="shared" si="11"/>
        <v>2.5846024833914842E-2</v>
      </c>
      <c r="P108" s="39">
        <f t="shared" si="12"/>
        <v>4.8461296563590328E-2</v>
      </c>
      <c r="Q108" s="39">
        <f t="shared" si="13"/>
        <v>0.11949156187662896</v>
      </c>
      <c r="R108" s="40" cm="1">
        <f t="array" ref="R108">(O108/WSchiene_2)*10^6*(1+3*Faktor_Oberbauzustand_2*fPersonenzüge_2)</f>
        <v>0.15722573931135392</v>
      </c>
      <c r="S108" s="40" cm="1">
        <f t="array" ref="S108">(O108/WSchiene_2)*10^6*(1+3*Faktor_Oberbauzustand_2*fGüterzüge_2)</f>
        <v>0.15533903043961766</v>
      </c>
      <c r="T108" s="40" t="e">
        <f t="shared" si="16"/>
        <v>#N/A</v>
      </c>
      <c r="U108" s="39" cm="1">
        <f t="array" ref="U108">ktot_2*N108</f>
        <v>5.3731301278456128E-2</v>
      </c>
      <c r="V108" s="139">
        <f t="shared" si="17"/>
        <v>28.788060189811855</v>
      </c>
    </row>
    <row r="109" spans="1:22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1"/>
      <c r="M109" s="159">
        <f t="shared" si="15"/>
        <v>9.8999999999999808</v>
      </c>
      <c r="N109" s="39">
        <f t="shared" si="10"/>
        <v>2.6584239622195363E-3</v>
      </c>
      <c r="O109" s="39">
        <f t="shared" si="11"/>
        <v>3.3106995336921755E-2</v>
      </c>
      <c r="P109" s="39">
        <f t="shared" si="12"/>
        <v>6.2075616256728271E-2</v>
      </c>
      <c r="Q109" s="39">
        <f t="shared" si="13"/>
        <v>0.15306054247305481</v>
      </c>
      <c r="R109" s="40" cm="1">
        <f t="array" ref="R109">(O109/WSchiene_2)*10^6*(1+3*Faktor_Oberbauzustand_2*fPersonenzüge_2)</f>
        <v>0.20139545062244055</v>
      </c>
      <c r="S109" s="40" cm="1">
        <f t="array" ref="S109">(O109/WSchiene_2)*10^6*(1+3*Faktor_Oberbauzustand_2*fGüterzüge_2)</f>
        <v>0.19897870521497127</v>
      </c>
      <c r="T109" s="40" t="e">
        <f t="shared" si="16"/>
        <v>#N/A</v>
      </c>
      <c r="U109" s="39" cm="1">
        <f t="array" ref="U109">ktot_2*N109</f>
        <v>5.3550599972966961E-2</v>
      </c>
      <c r="V109" s="139">
        <f t="shared" si="17"/>
        <v>28.788060189811855</v>
      </c>
    </row>
    <row r="110" spans="1:22" ht="14.65" hidden="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1"/>
      <c r="M110" s="159">
        <f t="shared" si="15"/>
        <v>9.9999999999999805</v>
      </c>
      <c r="N110" s="39">
        <f t="shared" si="10"/>
        <v>2.552582483764324E-3</v>
      </c>
      <c r="O110" s="39">
        <f t="shared" si="11"/>
        <v>4.1257769281588683E-2</v>
      </c>
      <c r="P110" s="39">
        <f t="shared" si="12"/>
        <v>7.7358317402978799E-2</v>
      </c>
      <c r="Q110" s="39">
        <f t="shared" si="13"/>
        <v>0.19074326991025745</v>
      </c>
      <c r="R110" s="40" cm="1">
        <f t="array" ref="R110">(O110/WSchiene_2)*10^6*(1+3*Faktor_Oberbauzustand_2*fPersonenzüge_2)</f>
        <v>0.25097798672402299</v>
      </c>
      <c r="S110" s="40" cm="1">
        <f t="array" ref="S110">(O110/WSchiene_2)*10^6*(1+3*Faktor_Oberbauzustand_2*fGüterzüge_2)</f>
        <v>0.24796625088333468</v>
      </c>
      <c r="T110" s="40" t="e">
        <f t="shared" si="16"/>
        <v>#N/A</v>
      </c>
      <c r="U110" s="39" cm="1">
        <f t="array" ref="U110">ktot_2*N110</f>
        <v>5.1418556794808758E-2</v>
      </c>
      <c r="V110" s="139">
        <f t="shared" si="17"/>
        <v>28.788060189811855</v>
      </c>
    </row>
    <row r="111" spans="1:22" ht="14.65" hidden="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1"/>
      <c r="M111" s="159">
        <f t="shared" si="15"/>
        <v>10.09999999999998</v>
      </c>
      <c r="N111" s="39">
        <f t="shared" si="10"/>
        <v>2.3260831040590631E-3</v>
      </c>
      <c r="O111" s="39">
        <f t="shared" si="11"/>
        <v>5.0262146969143093E-2</v>
      </c>
      <c r="P111" s="39">
        <f t="shared" si="12"/>
        <v>9.4241525567143325E-2</v>
      </c>
      <c r="Q111" s="39">
        <f t="shared" si="13"/>
        <v>0.23237238543293154</v>
      </c>
      <c r="R111" s="40" cm="1">
        <f t="array" ref="R111">(O111/WSchiene_2)*10^6*(1+3*Faktor_Oberbauzustand_2*fPersonenzüge_2)</f>
        <v>0.30575313872754151</v>
      </c>
      <c r="S111" s="40" cm="1">
        <f t="array" ref="S111">(O111/WSchiene_2)*10^6*(1+3*Faktor_Oberbauzustand_2*fGüterzüge_2)</f>
        <v>0.30208410106281103</v>
      </c>
      <c r="T111" s="40" t="e">
        <f t="shared" si="16"/>
        <v>#N/A</v>
      </c>
      <c r="U111" s="39" cm="1">
        <f t="array" ref="U111">ktot_2*N111</f>
        <v>4.6856012276290784E-2</v>
      </c>
      <c r="V111" s="139">
        <f t="shared" si="17"/>
        <v>28.788060189811855</v>
      </c>
    </row>
    <row r="112" spans="1:22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1"/>
      <c r="M112" s="159">
        <f t="shared" si="15"/>
        <v>10.19999999999998</v>
      </c>
      <c r="N112" s="39">
        <f t="shared" si="10"/>
        <v>1.9526566202917467E-3</v>
      </c>
      <c r="O112" s="39">
        <f t="shared" si="11"/>
        <v>6.0043350734401556E-2</v>
      </c>
      <c r="P112" s="39">
        <f t="shared" si="12"/>
        <v>0.11258128262700291</v>
      </c>
      <c r="Q112" s="39">
        <f t="shared" si="13"/>
        <v>0.27759292988627626</v>
      </c>
      <c r="R112" s="40" cm="1">
        <f t="array" ref="R112">(O112/WSchiene_2)*10^6*(1+3*Faktor_Oberbauzustand_2*fPersonenzüge_2)</f>
        <v>0.36525385511352143</v>
      </c>
      <c r="S112" s="40" cm="1">
        <f t="array" ref="S112">(O112/WSchiene_2)*10^6*(1+3*Faktor_Oberbauzustand_2*fGüterzüge_2)</f>
        <v>0.36087080885215916</v>
      </c>
      <c r="T112" s="40" t="e">
        <f t="shared" si="16"/>
        <v>#N/A</v>
      </c>
      <c r="U112" s="39" cm="1">
        <f t="array" ref="U112">ktot_2*N112</f>
        <v>3.9333806437144118E-2</v>
      </c>
      <c r="V112" s="139">
        <f t="shared" si="17"/>
        <v>28.788060189811855</v>
      </c>
    </row>
    <row r="113" spans="1:22" ht="18">
      <c r="A113" s="221" t="s">
        <v>138</v>
      </c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1"/>
      <c r="M113" s="159">
        <f t="shared" si="15"/>
        <v>10.299999999999979</v>
      </c>
      <c r="N113" s="39">
        <f t="shared" si="10"/>
        <v>1.4037779365359139E-3</v>
      </c>
      <c r="O113" s="39">
        <f t="shared" si="11"/>
        <v>7.047521190785698E-2</v>
      </c>
      <c r="P113" s="39">
        <f t="shared" si="12"/>
        <v>0.13214102232723182</v>
      </c>
      <c r="Q113" s="39">
        <f t="shared" si="13"/>
        <v>0.32582159920414694</v>
      </c>
      <c r="R113" s="40" cm="1">
        <f t="array" ref="R113">(O113/WSchiene_2)*10^6*(1+3*Faktor_Oberbauzustand_2*fPersonenzüge_2)</f>
        <v>0.42871263053177233</v>
      </c>
      <c r="S113" s="40" cm="1">
        <f t="array" ref="S113">(O113/WSchiene_2)*10^6*(1+3*Faktor_Oberbauzustand_2*fGüterzüge_2)</f>
        <v>0.42356807896539106</v>
      </c>
      <c r="T113" s="40" t="e">
        <f t="shared" si="16"/>
        <v>#N/A</v>
      </c>
      <c r="U113" s="39" cm="1">
        <f t="array" ref="U113">ktot_2*N113</f>
        <v>2.8277337173694881E-2</v>
      </c>
      <c r="V113" s="139">
        <f t="shared" si="17"/>
        <v>28.788060189811855</v>
      </c>
    </row>
    <row r="114" spans="1:22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1"/>
      <c r="M114" s="159">
        <f t="shared" si="15"/>
        <v>10.399999999999979</v>
      </c>
      <c r="N114" s="39">
        <f t="shared" si="10"/>
        <v>6.4903673497172841E-4</v>
      </c>
      <c r="O114" s="39">
        <f t="shared" si="11"/>
        <v>8.1372604445285268E-2</v>
      </c>
      <c r="P114" s="39">
        <f t="shared" si="12"/>
        <v>0.15257363333490984</v>
      </c>
      <c r="Q114" s="39">
        <f t="shared" si="13"/>
        <v>0.37620251708407426</v>
      </c>
      <c r="R114" s="40" cm="1">
        <f t="array" ref="R114">(O114/WSchiene_2)*10^6*(1+3*Faktor_Oberbauzustand_2*fPersonenzüge_2)</f>
        <v>0.49500331195272934</v>
      </c>
      <c r="S114" s="40" cm="1">
        <f t="array" ref="S114">(O114/WSchiene_2)*10^6*(1+3*Faktor_Oberbauzustand_2*fGüterzüge_2)</f>
        <v>0.48906327220929657</v>
      </c>
      <c r="T114" s="40" t="e">
        <f t="shared" ref="T114:T128" si="18">IF(N114=MAX($N$8:$N$338),N114,#N/A)</f>
        <v>#N/A</v>
      </c>
      <c r="U114" s="39" cm="1">
        <f t="array" ref="U114">ktot_2*N114</f>
        <v>1.3074026963409301E-2</v>
      </c>
      <c r="V114" s="139">
        <f t="shared" si="17"/>
        <v>28.788060189811855</v>
      </c>
    </row>
    <row r="115" spans="1:22" ht="17.649999999999999" hidden="1" customHeight="1">
      <c r="A115" s="221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222"/>
      <c r="M115" s="159">
        <f t="shared" si="15"/>
        <v>10.499999999999979</v>
      </c>
      <c r="N115" s="39">
        <f t="shared" si="10"/>
        <v>-3.4331957663834945E-4</v>
      </c>
      <c r="O115" s="39">
        <f t="shared" si="11"/>
        <v>9.2481250450974439E-2</v>
      </c>
      <c r="P115" s="39">
        <f t="shared" si="12"/>
        <v>0.17340234459557707</v>
      </c>
      <c r="Q115" s="39">
        <f t="shared" si="13"/>
        <v>0.427560103795536</v>
      </c>
      <c r="R115" s="40" cm="1">
        <f t="array" ref="R115">(O115/WSchiene_2)*10^6*(1+3*Faktor_Oberbauzustand_2*fPersonenzüge_2)</f>
        <v>0.56257908394149481</v>
      </c>
      <c r="S115" s="40" cm="1">
        <f t="array" ref="S115">(O115/WSchiene_2)*10^6*(1+3*Faktor_Oberbauzustand_2*fGüterzüge_2)</f>
        <v>0.5558281349341968</v>
      </c>
      <c r="T115" s="40" t="e">
        <f t="shared" si="18"/>
        <v>#N/A</v>
      </c>
      <c r="U115" s="39" cm="1">
        <f t="array" ref="U115">ktot_2*N115</f>
        <v>-6.9157401425538195E-3</v>
      </c>
      <c r="V115" s="139">
        <f t="shared" si="17"/>
        <v>28.788060189811855</v>
      </c>
    </row>
    <row r="116" spans="1:22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222"/>
      <c r="M116" s="159">
        <f t="shared" si="15"/>
        <v>10.599999999999978</v>
      </c>
      <c r="N116" s="39">
        <f t="shared" si="10"/>
        <v>-1.6056409234452731E-3</v>
      </c>
      <c r="O116" s="39">
        <f t="shared" si="11"/>
        <v>0.10346708070995778</v>
      </c>
      <c r="P116" s="39">
        <f t="shared" si="12"/>
        <v>0.19400077633117085</v>
      </c>
      <c r="Q116" s="39">
        <f t="shared" si="13"/>
        <v>0.47834988770207021</v>
      </c>
      <c r="R116" s="40" cm="1">
        <f t="array" ref="R116">(O116/WSchiene_2)*10^6*(1+3*Faktor_Oberbauzustand_2*fPersonenzüge_2)</f>
        <v>0.62940774697640822</v>
      </c>
      <c r="S116" s="40" cm="1">
        <f t="array" ref="S116">(O116/WSchiene_2)*10^6*(1+3*Faktor_Oberbauzustand_2*fGüterzüge_2)</f>
        <v>0.62185485401269125</v>
      </c>
      <c r="T116" s="40" t="e">
        <f t="shared" si="18"/>
        <v>#N/A</v>
      </c>
      <c r="U116" s="39" cm="1">
        <f t="array" ref="U116">ktot_2*N116</f>
        <v>-3.2343612611682629E-2</v>
      </c>
      <c r="V116" s="139">
        <f t="shared" si="17"/>
        <v>28.788060189811855</v>
      </c>
    </row>
    <row r="117" spans="1:22">
      <c r="A117" s="151" t="s">
        <v>139</v>
      </c>
      <c r="B117" s="151"/>
      <c r="C117" s="223" t="s">
        <v>140</v>
      </c>
      <c r="D117" s="328">
        <v>80</v>
      </c>
      <c r="E117" s="151" t="s">
        <v>141</v>
      </c>
      <c r="F117" s="49"/>
      <c r="G117" s="49"/>
      <c r="H117" s="49"/>
      <c r="I117" s="49"/>
      <c r="J117" s="49"/>
      <c r="K117" s="49"/>
      <c r="L117" s="222"/>
      <c r="M117" s="159">
        <f t="shared" si="15"/>
        <v>10.699999999999978</v>
      </c>
      <c r="N117" s="39">
        <f t="shared" si="10"/>
        <v>-3.1698966275829315E-3</v>
      </c>
      <c r="O117" s="39">
        <f t="shared" si="11"/>
        <v>0.11390540119604597</v>
      </c>
      <c r="P117" s="39">
        <f t="shared" si="12"/>
        <v>0.21357262724258622</v>
      </c>
      <c r="Q117" s="39">
        <f t="shared" si="13"/>
        <v>0.52660841976905215</v>
      </c>
      <c r="R117" s="40" cm="1">
        <f t="array" ref="R117">(O117/WSchiene_2)*10^6*(1+3*Faktor_Oberbauzustand_2*fPersonenzüge_2)</f>
        <v>0.69290581548559493</v>
      </c>
      <c r="S117" s="40" cm="1">
        <f t="array" ref="S117">(O117/WSchiene_2)*10^6*(1+3*Faktor_Oberbauzustand_2*fGüterzüge_2)</f>
        <v>0.68459094569976786</v>
      </c>
      <c r="T117" s="40" t="e">
        <f t="shared" si="18"/>
        <v>#N/A</v>
      </c>
      <c r="U117" s="39" cm="1">
        <f t="array" ref="U117">ktot_2*N117</f>
        <v>-6.3853572143408338E-2</v>
      </c>
      <c r="V117" s="139">
        <f t="shared" si="17"/>
        <v>28.788060189811855</v>
      </c>
    </row>
    <row r="118" spans="1:22">
      <c r="A118" s="151" t="s">
        <v>142</v>
      </c>
      <c r="B118" s="151"/>
      <c r="C118" s="223" t="s">
        <v>143</v>
      </c>
      <c r="D118" s="328">
        <v>60</v>
      </c>
      <c r="E118" s="151" t="s">
        <v>141</v>
      </c>
      <c r="F118" s="49"/>
      <c r="G118" s="49"/>
      <c r="H118" s="49"/>
      <c r="I118" s="49"/>
      <c r="J118" s="49"/>
      <c r="K118" s="49"/>
      <c r="L118" s="222"/>
      <c r="M118" s="159">
        <f t="shared" si="15"/>
        <v>10.799999999999978</v>
      </c>
      <c r="N118" s="39">
        <f t="shared" si="10"/>
        <v>-5.0664329300029861E-3</v>
      </c>
      <c r="O118" s="39">
        <f t="shared" si="11"/>
        <v>0.12327019476107379</v>
      </c>
      <c r="P118" s="39">
        <f t="shared" si="12"/>
        <v>0.23113161517701336</v>
      </c>
      <c r="Q118" s="39">
        <f t="shared" si="13"/>
        <v>0.56990381304241233</v>
      </c>
      <c r="R118" s="40" cm="1">
        <f t="array" ref="R118">(O118/WSchiene_2)*10^6*(1+3*Faktor_Oberbauzustand_2*fPersonenzüge_2)</f>
        <v>0.74987343821370045</v>
      </c>
      <c r="S118" s="40" cm="1">
        <f t="array" ref="S118">(O118/WSchiene_2)*10^6*(1+3*Faktor_Oberbauzustand_2*fGüterzüge_2)</f>
        <v>0.74087495695513605</v>
      </c>
      <c r="T118" s="40" t="e">
        <f t="shared" si="18"/>
        <v>#N/A</v>
      </c>
      <c r="U118" s="39" cm="1">
        <f t="array" ref="U118">ktot_2*N118</f>
        <v>-0.10205690551251947</v>
      </c>
      <c r="V118" s="139">
        <f t="shared" si="17"/>
        <v>28.788060189811855</v>
      </c>
    </row>
    <row r="119" spans="1:22">
      <c r="A119" s="151"/>
      <c r="B119" s="151"/>
      <c r="C119" s="151"/>
      <c r="D119" s="329"/>
      <c r="E119" s="151"/>
      <c r="F119" s="49"/>
      <c r="G119" s="49"/>
      <c r="H119" s="49"/>
      <c r="I119" s="49"/>
      <c r="J119" s="49"/>
      <c r="K119" s="49"/>
      <c r="L119" s="222"/>
      <c r="M119" s="159">
        <f t="shared" si="15"/>
        <v>10.899999999999977</v>
      </c>
      <c r="N119" s="39">
        <f t="shared" si="10"/>
        <v>-7.3224348385266414E-3</v>
      </c>
      <c r="O119" s="39">
        <f t="shared" si="11"/>
        <v>0.13092397601398842</v>
      </c>
      <c r="P119" s="39">
        <f t="shared" si="12"/>
        <v>0.24548245502622826</v>
      </c>
      <c r="Q119" s="39">
        <f t="shared" si="13"/>
        <v>0.60528883963933622</v>
      </c>
      <c r="R119" s="40" cm="1">
        <f t="array" ref="R119">(O119/WSchiene_2)*10^6*(1+3*Faktor_Oberbauzustand_2*fPersonenzüge_2)</f>
        <v>0.79643268373596876</v>
      </c>
      <c r="S119" s="40" cm="1">
        <f t="array" ref="S119">(O119/WSchiene_2)*10^6*(1+3*Faktor_Oberbauzustand_2*fGüterzüge_2)</f>
        <v>0.78687549153113712</v>
      </c>
      <c r="T119" s="40" t="e">
        <f t="shared" si="18"/>
        <v>#N/A</v>
      </c>
      <c r="U119" s="39" cm="1">
        <f t="array" ref="U119">ktot_2*N119</f>
        <v>-0.14750122043689104</v>
      </c>
      <c r="V119" s="139">
        <f t="shared" si="17"/>
        <v>28.788060189811855</v>
      </c>
    </row>
    <row r="120" spans="1:22" ht="15.5">
      <c r="A120" s="151" t="s">
        <v>145</v>
      </c>
      <c r="B120" s="49"/>
      <c r="C120" s="49" t="s">
        <v>146</v>
      </c>
      <c r="D120" s="330" cm="1">
        <f t="array" ref="D120">IF(Vreisezüge_2&lt;60,1,(1+(Vreisezüge_2-60)/380))</f>
        <v>1.0526315789473684</v>
      </c>
      <c r="E120" s="49"/>
      <c r="F120" s="49"/>
      <c r="G120" s="49"/>
      <c r="H120" s="49"/>
      <c r="I120" s="49"/>
      <c r="J120" s="49"/>
      <c r="K120" s="49"/>
      <c r="L120" s="1"/>
      <c r="M120" s="159">
        <f t="shared" si="15"/>
        <v>10.999999999999977</v>
      </c>
      <c r="N120" s="39">
        <f t="shared" si="10"/>
        <v>-9.9600628097180413E-3</v>
      </c>
      <c r="O120" s="39">
        <f t="shared" si="11"/>
        <v>0.13610871661921548</v>
      </c>
      <c r="P120" s="39">
        <f t="shared" si="12"/>
        <v>0.255203843661029</v>
      </c>
      <c r="Q120" s="39">
        <f t="shared" si="13"/>
        <v>0.62925897651047369</v>
      </c>
      <c r="R120" s="40" cm="1">
        <f t="array" ref="R120">(O120/WSchiene_2)*10^6*(1+3*Faktor_Oberbauzustand_2*fPersonenzüge_2)</f>
        <v>0.82797233751378119</v>
      </c>
      <c r="S120" s="40" cm="1">
        <f t="array" ref="S120">(O120/WSchiene_2)*10^6*(1+3*Faktor_Oberbauzustand_2*fGüterzüge_2)</f>
        <v>0.81803666946361586</v>
      </c>
      <c r="T120" s="40" t="e">
        <f t="shared" si="18"/>
        <v>#N/A</v>
      </c>
      <c r="U120" s="39" cm="1">
        <f t="array" ref="U120">ktot_2*N120</f>
        <v>-0.20063291138239822</v>
      </c>
      <c r="V120" s="139">
        <f t="shared" si="17"/>
        <v>28.788060189811855</v>
      </c>
    </row>
    <row r="121" spans="1:22" ht="15.5">
      <c r="A121" s="151" t="s">
        <v>147</v>
      </c>
      <c r="B121" s="49"/>
      <c r="C121" s="49" t="s">
        <v>148</v>
      </c>
      <c r="D121" s="330" cm="1">
        <f t="array" ref="D121">IF(Vgüterzüge_2&lt;60,1,(1+(Vgüterzüge_2-60)/160))</f>
        <v>1</v>
      </c>
      <c r="E121" s="49"/>
      <c r="F121" s="49"/>
      <c r="G121" s="49"/>
      <c r="H121" s="49"/>
      <c r="I121" s="49"/>
      <c r="J121" s="49"/>
      <c r="K121" s="49"/>
      <c r="L121" s="226"/>
      <c r="M121" s="159">
        <f>MIN(M120+Dx,LSchiene)</f>
        <v>11.099999999999977</v>
      </c>
      <c r="N121" s="39">
        <f t="shared" si="10"/>
        <v>-1.2994237923762676E-2</v>
      </c>
      <c r="O121" s="39">
        <f t="shared" si="11"/>
        <v>0.13793846732372841</v>
      </c>
      <c r="P121" s="39">
        <f t="shared" si="12"/>
        <v>0.25863462623199079</v>
      </c>
      <c r="Q121" s="39">
        <f t="shared" si="13"/>
        <v>0.63771829553272497</v>
      </c>
      <c r="R121" s="40" cm="1">
        <f t="array" ref="R121">(O121/WSchiene_2)*10^6*(1+3*Faktor_Oberbauzustand_2*fPersonenzüge_2)</f>
        <v>0.83910302043779605</v>
      </c>
      <c r="S121" s="40" cm="1">
        <f t="array" ref="S121">(O121/WSchiene_2)*10^6*(1+3*Faktor_Oberbauzustand_2*fGüterzüge_2)</f>
        <v>0.82903378419254248</v>
      </c>
      <c r="T121" s="40" t="e">
        <f t="shared" si="18"/>
        <v>#N/A</v>
      </c>
      <c r="U121" s="39" cm="1">
        <f t="array" ref="U121">ktot_2*N121</f>
        <v>-0.26175254470246445</v>
      </c>
      <c r="V121" s="139">
        <f t="shared" si="17"/>
        <v>28.788060189811855</v>
      </c>
    </row>
    <row r="122" spans="1:22">
      <c r="A122" s="49"/>
      <c r="B122" s="49"/>
      <c r="C122" s="49"/>
      <c r="D122" s="309"/>
      <c r="E122" s="49"/>
      <c r="F122" s="49"/>
      <c r="G122" s="49"/>
      <c r="H122" s="243"/>
      <c r="I122" s="243"/>
      <c r="J122" s="243"/>
      <c r="K122" s="243"/>
      <c r="L122" s="1"/>
      <c r="M122" s="159">
        <f t="shared" si="15"/>
        <v>11.199999999999976</v>
      </c>
      <c r="N122" s="39">
        <f t="shared" si="10"/>
        <v>-1.6430054193735933E-2</v>
      </c>
      <c r="O122" s="39">
        <f t="shared" si="11"/>
        <v>0.13539442089442025</v>
      </c>
      <c r="P122" s="39">
        <f t="shared" si="12"/>
        <v>0.25386453917703788</v>
      </c>
      <c r="Q122" s="39">
        <f t="shared" si="13"/>
        <v>0.6259566384392985</v>
      </c>
      <c r="R122" s="40" cm="1">
        <f t="array" ref="R122">(O122/WSchiene_2)*10^6*(1+3*Faktor_Oberbauzustand_2*fPersonenzüge_2)</f>
        <v>0.82362715584118229</v>
      </c>
      <c r="S122" s="40" cm="1">
        <f t="array" ref="S122">(O122/WSchiene_2)*10^6*(1+3*Faktor_Oberbauzustand_2*fGüterzüge_2)</f>
        <v>0.81374362997108807</v>
      </c>
      <c r="T122" s="40" t="e">
        <f t="shared" si="18"/>
        <v>#N/A</v>
      </c>
      <c r="U122" s="39" cm="1">
        <f t="array" ref="U122">ktot_2*N122</f>
        <v>-0.33096273286986827</v>
      </c>
      <c r="V122" s="139">
        <f t="shared" si="17"/>
        <v>28.788060189811855</v>
      </c>
    </row>
    <row r="123" spans="1:22">
      <c r="A123" s="151" t="s">
        <v>177</v>
      </c>
      <c r="B123" s="151"/>
      <c r="C123" s="215" t="s">
        <v>151</v>
      </c>
      <c r="D123" s="328">
        <v>1.25</v>
      </c>
      <c r="E123" s="151" t="s">
        <v>178</v>
      </c>
      <c r="F123" s="49"/>
      <c r="G123" s="49"/>
      <c r="H123" s="243"/>
      <c r="I123" s="243"/>
      <c r="J123" s="243"/>
      <c r="K123" s="243"/>
      <c r="L123" s="1"/>
      <c r="M123" s="159">
        <f t="shared" si="15"/>
        <v>11.299999999999976</v>
      </c>
      <c r="N123" s="39">
        <f t="shared" si="10"/>
        <v>-2.0259803807182543E-2</v>
      </c>
      <c r="O123" s="39">
        <f t="shared" si="11"/>
        <v>0.1273232851294718</v>
      </c>
      <c r="P123" s="39">
        <f t="shared" si="12"/>
        <v>0.23873115961775962</v>
      </c>
      <c r="Q123" s="39">
        <f t="shared" si="13"/>
        <v>0.58864209491202868</v>
      </c>
      <c r="R123" s="40" cm="1">
        <f t="array" ref="R123">(O123/WSchiene_2)*10^6*(1+3*Faktor_Oberbauzustand_2*fPersonenzüge_2)</f>
        <v>0.77452907225266932</v>
      </c>
      <c r="S123" s="40" cm="1">
        <f t="array" ref="S123">(O123/WSchiene_2)*10^6*(1+3*Faktor_Oberbauzustand_2*fGüterzüge_2)</f>
        <v>0.76523472338563736</v>
      </c>
      <c r="T123" s="40" t="e">
        <f t="shared" si="18"/>
        <v>#N/A</v>
      </c>
      <c r="U123" s="39" cm="1">
        <f t="array" ref="U123">ktot_2*N123</f>
        <v>-0.40810821171782341</v>
      </c>
      <c r="V123" s="139">
        <f t="shared" si="17"/>
        <v>28.788060189811855</v>
      </c>
    </row>
    <row r="124" spans="1:22">
      <c r="A124" s="151" t="s">
        <v>150</v>
      </c>
      <c r="B124" s="49"/>
      <c r="C124" s="215" t="s">
        <v>151</v>
      </c>
      <c r="D124" s="310">
        <v>0.1</v>
      </c>
      <c r="E124" s="49"/>
      <c r="F124" s="49"/>
      <c r="G124" s="49"/>
      <c r="H124" s="243"/>
      <c r="I124" s="243"/>
      <c r="J124" s="243"/>
      <c r="K124" s="243"/>
      <c r="L124" s="1"/>
      <c r="M124" s="159">
        <f t="shared" si="15"/>
        <v>11.399999999999975</v>
      </c>
      <c r="N124" s="39">
        <f t="shared" si="10"/>
        <v>-2.4459610793091897E-2</v>
      </c>
      <c r="O124" s="39">
        <f t="shared" si="11"/>
        <v>0.11243996478653548</v>
      </c>
      <c r="P124" s="39">
        <f t="shared" si="12"/>
        <v>0.21082493397475402</v>
      </c>
      <c r="Q124" s="39">
        <f t="shared" si="13"/>
        <v>0.51983340169456993</v>
      </c>
      <c r="R124" s="40" cm="1">
        <f t="array" ref="R124">(O124/WSchiene_2)*10^6*(1+3*Faktor_Oberbauzustand_2*fPersonenzüge_2)</f>
        <v>0.68399131801917101</v>
      </c>
      <c r="S124" s="40" cm="1">
        <f t="array" ref="S124">(O124/WSchiene_2)*10^6*(1+3*Faktor_Oberbauzustand_2*fGüterzüge_2)</f>
        <v>0.67578342220294096</v>
      </c>
      <c r="T124" s="40" t="e">
        <f t="shared" si="18"/>
        <v>#N/A</v>
      </c>
      <c r="U124" s="39" cm="1">
        <f t="array" ref="U124">ktot_2*N124</f>
        <v>-0.49270802990420914</v>
      </c>
      <c r="V124" s="139">
        <f t="shared" si="17"/>
        <v>28.788060189811855</v>
      </c>
    </row>
    <row r="125" spans="1:22">
      <c r="A125" s="215" t="s">
        <v>152</v>
      </c>
      <c r="B125" s="215" t="s">
        <v>179</v>
      </c>
      <c r="C125" s="213">
        <v>0.1</v>
      </c>
      <c r="D125" s="309"/>
      <c r="E125" s="49"/>
      <c r="F125" s="49"/>
      <c r="G125" s="49"/>
      <c r="H125" s="243"/>
      <c r="I125" s="243"/>
      <c r="J125" s="243"/>
      <c r="K125" s="243"/>
      <c r="L125" s="1"/>
      <c r="M125" s="159">
        <f t="shared" si="15"/>
        <v>11.499999999999975</v>
      </c>
      <c r="N125" s="39">
        <f t="shared" si="10"/>
        <v>-2.8985681218943179E-2</v>
      </c>
      <c r="O125" s="39">
        <f t="shared" si="11"/>
        <v>8.9335682381193673E-2</v>
      </c>
      <c r="P125" s="39">
        <f t="shared" si="12"/>
        <v>0.16750440446473813</v>
      </c>
      <c r="Q125" s="39">
        <f t="shared" si="13"/>
        <v>0.41301748673691019</v>
      </c>
      <c r="R125" s="40" cm="1">
        <f t="array" ref="R125">(O125/WSchiene_2)*10^6*(1+3*Faktor_Oberbauzustand_2*fPersonenzüge_2)</f>
        <v>0.54344406149593449</v>
      </c>
      <c r="S125" s="40" cm="1">
        <f t="array" ref="S125">(O125/WSchiene_2)*10^6*(1+3*Faktor_Oberbauzustand_2*fGüterzüge_2)</f>
        <v>0.5369227327579833</v>
      </c>
      <c r="T125" s="40" t="e">
        <f t="shared" si="18"/>
        <v>#N/A</v>
      </c>
      <c r="U125" s="39" cm="1">
        <f t="array" ref="U125">ktot_2*N125</f>
        <v>-0.58388001385739263</v>
      </c>
      <c r="V125" s="139">
        <f t="shared" si="17"/>
        <v>28.788060189811855</v>
      </c>
    </row>
    <row r="126" spans="1:22">
      <c r="A126" s="215" t="s">
        <v>154</v>
      </c>
      <c r="B126" s="215" t="s">
        <v>180</v>
      </c>
      <c r="C126" s="213">
        <v>0.2</v>
      </c>
      <c r="D126" s="309"/>
      <c r="E126" s="49"/>
      <c r="F126" s="49"/>
      <c r="G126" s="49"/>
      <c r="H126" s="243"/>
      <c r="I126" s="243"/>
      <c r="J126" s="243"/>
      <c r="K126" s="243"/>
      <c r="L126" s="1"/>
      <c r="M126" s="159">
        <f t="shared" si="15"/>
        <v>11.599999999999975</v>
      </c>
      <c r="N126" s="39">
        <f t="shared" si="10"/>
        <v>-3.3770193932248331E-2</v>
      </c>
      <c r="O126" s="39">
        <f t="shared" si="11"/>
        <v>5.6492796106545062E-2</v>
      </c>
      <c r="P126" s="39">
        <f t="shared" si="12"/>
        <v>0.105923992699772</v>
      </c>
      <c r="Q126" s="39">
        <f t="shared" si="13"/>
        <v>0.26117797552725408</v>
      </c>
      <c r="R126" s="40" cm="1">
        <f t="array" ref="R126">(O126/WSchiene_2)*10^6*(1+3*Faktor_Oberbauzustand_2*fPersonenzüge_2)</f>
        <v>0.3436552309569133</v>
      </c>
      <c r="S126" s="40" cm="1">
        <f t="array" ref="S126">(O126/WSchiene_2)*10^6*(1+3*Faktor_Oberbauzustand_2*fGüterzüge_2)</f>
        <v>0.33953136818543034</v>
      </c>
      <c r="T126" s="40" t="e">
        <f t="shared" si="18"/>
        <v>#N/A</v>
      </c>
      <c r="U126" s="39" cm="1">
        <f t="array" ref="U126">ktot_2*N126</f>
        <v>-0.68025799194402736</v>
      </c>
      <c r="V126" s="139">
        <f t="shared" si="17"/>
        <v>28.788060189811855</v>
      </c>
    </row>
    <row r="127" spans="1:22">
      <c r="A127" s="215" t="s">
        <v>155</v>
      </c>
      <c r="B127" s="215" t="s">
        <v>181</v>
      </c>
      <c r="C127" s="213">
        <v>0.3</v>
      </c>
      <c r="D127" s="309"/>
      <c r="E127" s="49"/>
      <c r="F127" s="49"/>
      <c r="G127" s="49"/>
      <c r="H127" s="243"/>
      <c r="I127" s="243"/>
      <c r="J127" s="243"/>
      <c r="K127" s="243"/>
      <c r="L127" s="1"/>
      <c r="M127" s="159">
        <f t="shared" si="15"/>
        <v>11.699999999999974</v>
      </c>
      <c r="N127" s="39">
        <f t="shared" si="10"/>
        <v>-3.8716875442196652E-2</v>
      </c>
      <c r="O127" s="39">
        <f t="shared" si="11"/>
        <v>1.2307693257059606E-2</v>
      </c>
      <c r="P127" s="39">
        <f t="shared" si="12"/>
        <v>2.3076924856986761E-2</v>
      </c>
      <c r="Q127" s="39">
        <f t="shared" si="13"/>
        <v>5.6901032163937153E-2</v>
      </c>
      <c r="R127" s="40" cm="1">
        <f t="array" ref="R127">(O127/WSchiene_2)*10^6*(1+3*Faktor_Oberbauzustand_2*fPersonenzüge_2)</f>
        <v>7.4869779163075204E-2</v>
      </c>
      <c r="S127" s="40" cm="1">
        <f t="array" ref="S127">(O127/WSchiene_2)*10^6*(1+3*Faktor_Oberbauzustand_2*fGüterzüge_2)</f>
        <v>7.3971341813118305E-2</v>
      </c>
      <c r="T127" s="40" t="e">
        <f t="shared" si="18"/>
        <v>#N/A</v>
      </c>
      <c r="U127" s="39" cm="1">
        <f t="array" ref="U127">ktot_2*N127</f>
        <v>-0.77990265603731579</v>
      </c>
      <c r="V127" s="139">
        <f t="shared" si="17"/>
        <v>28.788060189811855</v>
      </c>
    </row>
    <row r="128" spans="1:22">
      <c r="A128" s="215"/>
      <c r="B128" s="215"/>
      <c r="C128" s="215" t="s">
        <v>182</v>
      </c>
      <c r="D128" s="331">
        <f>fPersonenzüge_2*Faktor_Oberbauzustand_2</f>
        <v>0.10526315789473684</v>
      </c>
      <c r="E128" s="49"/>
      <c r="F128" s="49"/>
      <c r="G128" s="49"/>
      <c r="H128" s="243"/>
      <c r="I128" s="306">
        <v>0.67</v>
      </c>
      <c r="J128" s="243"/>
      <c r="K128" s="243"/>
      <c r="L128" s="1"/>
      <c r="M128" s="159">
        <f t="shared" si="15"/>
        <v>11.799999999999974</v>
      </c>
      <c r="N128" s="39">
        <f t="shared" si="10"/>
        <v>-4.3696326138719384E-2</v>
      </c>
      <c r="O128" s="39">
        <f t="shared" si="11"/>
        <v>-4.4876757076715387E-2</v>
      </c>
      <c r="P128" s="39">
        <f t="shared" si="12"/>
        <v>-8.4143919518841356E-2</v>
      </c>
      <c r="Q128" s="39">
        <f t="shared" si="13"/>
        <v>-0.2074746050703439</v>
      </c>
      <c r="R128" s="40" cm="1">
        <f t="array" ref="R128">(O128/WSchiene_2)*10^6*(1+3*Faktor_Oberbauzustand_2*fPersonenzüge_2)</f>
        <v>-0.27299290140834725</v>
      </c>
      <c r="S128" s="40" cm="1">
        <f t="array" ref="S128">(O128/WSchiene_2)*10^6*(1+3*Faktor_Oberbauzustand_2*fGüterzüge_2)</f>
        <v>-0.26971698659144711</v>
      </c>
      <c r="T128" s="40" t="e">
        <f t="shared" si="18"/>
        <v>#N/A</v>
      </c>
      <c r="U128" s="39" cm="1">
        <f t="array" ref="U128">ktot_2*N128</f>
        <v>-0.8802074140910201</v>
      </c>
      <c r="V128" s="139">
        <f t="shared" si="17"/>
        <v>28.788060189811855</v>
      </c>
    </row>
    <row r="129" spans="1:22">
      <c r="A129" s="215"/>
      <c r="B129" s="215"/>
      <c r="C129" s="215" t="s">
        <v>183</v>
      </c>
      <c r="D129" s="331">
        <f>fGüterzüge_2*Faktor_Oberbauzustand_2</f>
        <v>0.1</v>
      </c>
      <c r="E129" s="49"/>
      <c r="F129" s="49"/>
      <c r="G129" s="49"/>
      <c r="H129" s="243"/>
      <c r="I129" s="306">
        <v>0.96</v>
      </c>
      <c r="J129" s="243"/>
      <c r="K129" s="243"/>
      <c r="L129" s="1"/>
      <c r="M129" s="159"/>
      <c r="N129" s="39"/>
      <c r="O129" s="39"/>
      <c r="P129" s="39"/>
      <c r="Q129" s="39"/>
      <c r="R129" s="40"/>
      <c r="S129" s="40"/>
      <c r="T129" s="40"/>
      <c r="U129" s="39"/>
      <c r="V129" s="139"/>
    </row>
    <row r="130" spans="1:22">
      <c r="A130" s="215" t="s">
        <v>184</v>
      </c>
      <c r="B130" s="215"/>
      <c r="C130" s="215"/>
      <c r="D130" s="309"/>
      <c r="E130" s="49"/>
      <c r="F130" s="49"/>
      <c r="G130" s="49"/>
      <c r="H130" s="243"/>
      <c r="I130" s="307">
        <v>0.997</v>
      </c>
      <c r="J130" s="243"/>
      <c r="K130" s="243"/>
      <c r="L130" s="1"/>
      <c r="M130" s="159"/>
      <c r="N130" s="39"/>
      <c r="O130" s="39"/>
      <c r="P130" s="39"/>
      <c r="Q130" s="39"/>
      <c r="R130" s="40"/>
      <c r="S130" s="40"/>
      <c r="T130" s="40"/>
      <c r="U130" s="39"/>
      <c r="V130" s="139"/>
    </row>
    <row r="131" spans="1:22">
      <c r="A131" s="304">
        <v>0.997</v>
      </c>
      <c r="B131" s="215"/>
      <c r="C131" s="305" t="s">
        <v>185</v>
      </c>
      <c r="D131" s="332">
        <f>IF(A131=99.7%,3,IF(A131=96%,2,1))</f>
        <v>3</v>
      </c>
      <c r="E131" s="49"/>
      <c r="F131" s="49"/>
      <c r="G131" s="49"/>
      <c r="H131" s="49"/>
      <c r="I131" s="308"/>
      <c r="J131" s="49"/>
      <c r="K131" s="49"/>
      <c r="L131" s="1"/>
      <c r="M131" s="159"/>
      <c r="N131" s="39"/>
      <c r="O131" s="39"/>
      <c r="P131" s="39"/>
      <c r="Q131" s="39"/>
      <c r="R131" s="40"/>
      <c r="S131" s="40"/>
      <c r="T131" s="40"/>
      <c r="U131" s="39"/>
      <c r="V131" s="139"/>
    </row>
    <row r="132" spans="1:22" ht="16.5">
      <c r="A132" s="151" t="s">
        <v>186</v>
      </c>
      <c r="B132" s="211" t="s">
        <v>187</v>
      </c>
      <c r="C132" s="211"/>
      <c r="D132" s="330">
        <f>(1+D128*D131)</f>
        <v>1.3157894736842106</v>
      </c>
      <c r="E132" s="334" t="s">
        <v>188</v>
      </c>
      <c r="F132" s="334"/>
      <c r="G132" s="49" t="s">
        <v>189</v>
      </c>
      <c r="H132" s="49"/>
      <c r="I132" s="243"/>
      <c r="J132" s="49"/>
      <c r="K132" s="49"/>
      <c r="L132" s="1"/>
      <c r="M132" s="159"/>
      <c r="N132" s="39"/>
      <c r="O132" s="39"/>
      <c r="P132" s="39"/>
      <c r="Q132" s="39"/>
      <c r="R132" s="40"/>
      <c r="S132" s="40"/>
      <c r="T132" s="40"/>
      <c r="U132" s="39"/>
      <c r="V132" s="139"/>
    </row>
    <row r="133" spans="1:22" ht="16.5">
      <c r="A133" s="49"/>
      <c r="B133" s="49"/>
      <c r="C133" s="49"/>
      <c r="D133" s="330">
        <f>(1+D129*D131)</f>
        <v>1.3</v>
      </c>
      <c r="E133" s="334" t="s">
        <v>188</v>
      </c>
      <c r="F133" s="334"/>
      <c r="G133" s="49" t="s">
        <v>190</v>
      </c>
      <c r="H133" s="49"/>
      <c r="I133" s="243"/>
      <c r="J133" s="49"/>
      <c r="K133" s="49"/>
      <c r="L133" s="1"/>
      <c r="M133" s="159">
        <f>MIN(M128+Dx,LSchiene)</f>
        <v>11.899999999999974</v>
      </c>
      <c r="N133" s="39">
        <f t="shared" si="10"/>
        <v>-4.8541192974281624E-2</v>
      </c>
      <c r="O133" s="39">
        <f t="shared" si="11"/>
        <v>-0.11672762557378713</v>
      </c>
      <c r="P133" s="39">
        <f t="shared" si="12"/>
        <v>-0.21886429795085088</v>
      </c>
      <c r="Q133" s="39">
        <f t="shared" si="13"/>
        <v>-0.53965615152005142</v>
      </c>
      <c r="R133" s="40" cm="1">
        <f t="array" ref="R133">(O133/WSchiene_2)*10^6*(1+3*Faktor_Oberbauzustand_2*fPersonenzüge_2)</f>
        <v>-0.71007388357901513</v>
      </c>
      <c r="S133" s="40" cm="1">
        <f t="array" ref="S133">(O133/WSchiene_2)*10^6*(1+3*Faktor_Oberbauzustand_2*fGüterzüge_2)</f>
        <v>-0.70155299697606688</v>
      </c>
      <c r="T133" s="40" t="e">
        <f>IF(N133=MAX($N$8:$N$338),N133,#N/A)</f>
        <v>#N/A</v>
      </c>
      <c r="U133" s="39" cm="1">
        <f t="array" ref="U133">ktot_2*N133</f>
        <v>-0.97780114989863565</v>
      </c>
      <c r="V133" s="139">
        <f>MAX($U$8:$U$338)</f>
        <v>28.788060189811855</v>
      </c>
    </row>
    <row r="134" spans="1:22" ht="16.5">
      <c r="A134" s="49"/>
      <c r="B134" s="211" t="s">
        <v>191</v>
      </c>
      <c r="C134" s="211"/>
      <c r="D134" s="330">
        <f>Faktor_Radkraftverlagerung_2</f>
        <v>1.25</v>
      </c>
      <c r="E134" s="334" t="s">
        <v>192</v>
      </c>
      <c r="F134" s="334"/>
      <c r="G134" s="49"/>
      <c r="H134" s="49"/>
      <c r="I134" s="243"/>
      <c r="J134" s="49"/>
      <c r="K134" s="49"/>
      <c r="L134" s="1"/>
      <c r="M134" s="159"/>
      <c r="N134" s="39"/>
      <c r="O134" s="39"/>
      <c r="P134" s="39"/>
      <c r="Q134" s="39"/>
      <c r="R134" s="40"/>
      <c r="S134" s="40"/>
      <c r="T134" s="40"/>
      <c r="U134" s="39"/>
      <c r="V134" s="139"/>
    </row>
    <row r="135" spans="1:22" ht="16.5">
      <c r="A135" s="49"/>
      <c r="B135" s="211" t="s">
        <v>193</v>
      </c>
      <c r="C135" s="211"/>
      <c r="D135" s="330">
        <f>D134*D132</f>
        <v>1.6447368421052633</v>
      </c>
      <c r="E135" s="334" t="s">
        <v>192</v>
      </c>
      <c r="F135" s="334"/>
      <c r="G135" s="49" t="s">
        <v>189</v>
      </c>
      <c r="H135" s="49"/>
      <c r="I135" s="243"/>
      <c r="J135" s="49"/>
      <c r="K135" s="49"/>
      <c r="L135" s="1"/>
      <c r="M135" s="159"/>
      <c r="N135" s="39"/>
      <c r="O135" s="39"/>
      <c r="P135" s="39"/>
      <c r="Q135" s="39"/>
      <c r="R135" s="40"/>
      <c r="S135" s="40"/>
      <c r="T135" s="40"/>
      <c r="U135" s="39"/>
      <c r="V135" s="139"/>
    </row>
    <row r="136" spans="1:22" ht="16.5">
      <c r="A136" s="49"/>
      <c r="B136" s="211"/>
      <c r="C136" s="211"/>
      <c r="D136" s="330">
        <f>D133*D134</f>
        <v>1.625</v>
      </c>
      <c r="E136" s="334" t="s">
        <v>192</v>
      </c>
      <c r="F136" s="334"/>
      <c r="G136" s="49" t="s">
        <v>190</v>
      </c>
      <c r="H136" s="49"/>
      <c r="I136" s="243"/>
      <c r="J136" s="49"/>
      <c r="K136" s="49"/>
      <c r="L136" s="1"/>
      <c r="M136" s="159"/>
      <c r="N136" s="39"/>
      <c r="O136" s="39"/>
      <c r="P136" s="39"/>
      <c r="Q136" s="39"/>
      <c r="R136" s="40"/>
      <c r="S136" s="40"/>
      <c r="T136" s="40"/>
      <c r="U136" s="39"/>
      <c r="V136" s="139"/>
    </row>
    <row r="137" spans="1:22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1"/>
      <c r="M137" s="159"/>
      <c r="N137" s="39"/>
      <c r="O137" s="39"/>
      <c r="P137" s="39"/>
      <c r="Q137" s="39"/>
      <c r="R137" s="40"/>
      <c r="S137" s="40"/>
      <c r="T137" s="40"/>
      <c r="U137" s="39"/>
      <c r="V137" s="139"/>
    </row>
    <row r="138" spans="1:22" ht="21" hidden="1">
      <c r="A138" s="227" t="s">
        <v>156</v>
      </c>
      <c r="B138" s="209">
        <f>MAX(O8:O338)</f>
        <v>13.051026299480473</v>
      </c>
      <c r="C138" s="210" t="s">
        <v>135</v>
      </c>
      <c r="D138" s="49"/>
      <c r="E138" s="49"/>
      <c r="F138" s="49"/>
      <c r="G138" s="49"/>
      <c r="H138" s="49"/>
      <c r="I138" s="49"/>
      <c r="J138" s="49"/>
      <c r="K138" s="49"/>
      <c r="L138" s="1"/>
      <c r="M138" s="159">
        <f>MIN(M133+Dx,LSchiene)</f>
        <v>11.999999999999973</v>
      </c>
      <c r="N138" s="39">
        <f t="shared" si="10"/>
        <v>-5.3041316227132769E-2</v>
      </c>
      <c r="O138" s="39">
        <f t="shared" si="11"/>
        <v>-0.20486560140183555</v>
      </c>
      <c r="P138" s="39">
        <f t="shared" si="12"/>
        <v>-0.38412300262844173</v>
      </c>
      <c r="Q138" s="39">
        <f t="shared" si="13"/>
        <v>-0.94713639113192583</v>
      </c>
      <c r="R138" s="40" cm="1">
        <f t="array" ref="R138">(O138/WSchiene_2)*10^6*(1+3*Faktor_Oberbauzustand_2*fPersonenzüge_2)</f>
        <v>-1.2462320935946394</v>
      </c>
      <c r="S138" s="40" cm="1">
        <f t="array" ref="S138">(O138/WSchiene_2)*10^6*(1+3*Faktor_Oberbauzustand_2*fGüterzüge_2)</f>
        <v>-1.2312773084715036</v>
      </c>
      <c r="T138" s="40" t="e">
        <f t="shared" ref="T138:T201" si="19">IF(N138=MAX($N$8:$N$338),N138,#N/A)</f>
        <v>#N/A</v>
      </c>
      <c r="U138" s="39" cm="1">
        <f t="array" ref="U138">ktot_2*N138</f>
        <v>-1.0684504607562157</v>
      </c>
      <c r="V138" s="139">
        <f t="shared" ref="V138:V201" si="20">MAX($U$8:$U$338)</f>
        <v>28.788060189811855</v>
      </c>
    </row>
    <row r="139" spans="1:22" ht="22.5" customHeight="1">
      <c r="A139" s="335" t="s">
        <v>157</v>
      </c>
      <c r="B139" s="335"/>
      <c r="C139" s="1"/>
      <c r="D139" s="209">
        <f>(Maximales_Biegemoment__charakteristisch_2/WSchiene_2)*10^6*(1+D131*Faktor_Oberbauzustand_2*fPersonenzüge_2)*Faktor_Radkraftverlagerung_2</f>
        <v>99.239499685807914</v>
      </c>
      <c r="E139" s="210" t="s">
        <v>137</v>
      </c>
      <c r="F139" s="49"/>
      <c r="G139" s="49"/>
      <c r="H139" s="49"/>
      <c r="I139" s="49"/>
      <c r="J139" s="49"/>
      <c r="K139" s="49"/>
      <c r="L139" s="1"/>
      <c r="M139" s="159">
        <f t="shared" si="15"/>
        <v>12.099999999999973</v>
      </c>
      <c r="N139" s="39">
        <f t="shared" si="10"/>
        <v>-5.69390151687858E-2</v>
      </c>
      <c r="O139" s="39">
        <f t="shared" si="11"/>
        <v>-0.31079430332220914</v>
      </c>
      <c r="P139" s="39">
        <f t="shared" si="12"/>
        <v>-0.5827393187291422</v>
      </c>
      <c r="Q139" s="39">
        <f t="shared" si="13"/>
        <v>-1.4368668669542723</v>
      </c>
      <c r="R139" s="40" cm="1">
        <f t="array" ref="R139">(O139/WSchiene_2)*10^6*(1+3*Faktor_Oberbauzustand_2*fPersonenzüge_2)</f>
        <v>-1.8906142986240426</v>
      </c>
      <c r="S139" s="40" cm="1">
        <f t="array" ref="S139">(O139/WSchiene_2)*10^6*(1+3*Faktor_Oberbauzustand_2*fGüterzüge_2)</f>
        <v>-1.8679269270405541</v>
      </c>
      <c r="T139" s="40" t="e">
        <f t="shared" si="19"/>
        <v>#N/A</v>
      </c>
      <c r="U139" s="39" cm="1">
        <f t="array" ref="U139">ktot_2*N139</f>
        <v>-1.146964693175808</v>
      </c>
      <c r="V139" s="139">
        <f t="shared" si="20"/>
        <v>28.788060189811855</v>
      </c>
    </row>
    <row r="140" spans="1:22" ht="22.5" customHeight="1">
      <c r="A140" s="335" t="s">
        <v>158</v>
      </c>
      <c r="B140" s="335"/>
      <c r="C140" s="1"/>
      <c r="D140" s="209">
        <f>(Maximales_Biegemoment__charakteristisch_2/WSchiene_2)*10^6*(1+D131*Faktor_Oberbauzustand_2*fGüterzüge_2)*Faktor_Radkraftverlagerung_2</f>
        <v>98.048625689578216</v>
      </c>
      <c r="E140" s="210" t="s">
        <v>137</v>
      </c>
      <c r="F140" s="49"/>
      <c r="G140" s="49"/>
      <c r="H140" s="49"/>
      <c r="I140" s="49"/>
      <c r="J140" s="49"/>
      <c r="K140" s="49"/>
      <c r="L140" s="1"/>
      <c r="M140" s="159">
        <f t="shared" si="15"/>
        <v>12.199999999999973</v>
      </c>
      <c r="N140" s="39">
        <f t="shared" si="10"/>
        <v>-5.9924719392478724E-2</v>
      </c>
      <c r="O140" s="39">
        <f t="shared" si="11"/>
        <v>-0.43581364622075053</v>
      </c>
      <c r="P140" s="39">
        <f t="shared" si="12"/>
        <v>-0.81715058666390727</v>
      </c>
      <c r="Q140" s="39">
        <f t="shared" si="13"/>
        <v>-2.0148573565453098</v>
      </c>
      <c r="R140" s="40" cm="1">
        <f t="array" ref="R140">(O140/WSchiene_2)*10^6*(1+3*Faktor_Oberbauzustand_2*fPersonenzüge_2)</f>
        <v>-2.6511281007175129</v>
      </c>
      <c r="S140" s="40" cm="1">
        <f t="array" ref="S140">(O140/WSchiene_2)*10^6*(1+3*Faktor_Oberbauzustand_2*fGüterzüge_2)</f>
        <v>-2.6193145635089028</v>
      </c>
      <c r="T140" s="40" t="e">
        <f t="shared" si="19"/>
        <v>#N/A</v>
      </c>
      <c r="U140" s="39" cm="1">
        <f t="array" ref="U140">ktot_2*N140</f>
        <v>-1.207107941503696</v>
      </c>
      <c r="V140" s="139">
        <f t="shared" si="20"/>
        <v>28.788060189811855</v>
      </c>
    </row>
    <row r="141" spans="1:22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1"/>
      <c r="M141" s="159">
        <f t="shared" si="15"/>
        <v>12.299999999999972</v>
      </c>
      <c r="N141" s="39">
        <f t="shared" si="10"/>
        <v>-6.1633199080298698E-2</v>
      </c>
      <c r="O141" s="39">
        <f t="shared" si="11"/>
        <v>-0.58091580345483929</v>
      </c>
      <c r="P141" s="39">
        <f t="shared" si="12"/>
        <v>-1.0892171314778236</v>
      </c>
      <c r="Q141" s="39">
        <f t="shared" si="13"/>
        <v>-2.6856948842109998</v>
      </c>
      <c r="R141" s="40" cm="1">
        <f t="array" ref="R141">(O141/WSchiene_2)*10^6*(1+3*Faktor_Oberbauzustand_2*fPersonenzüge_2)</f>
        <v>-3.5338090581723685</v>
      </c>
      <c r="S141" s="40" cm="1">
        <f t="array" ref="S141">(O141/WSchiene_2)*10^6*(1+3*Faktor_Oberbauzustand_2*fGüterzüge_2)</f>
        <v>-3.4914033494742998</v>
      </c>
      <c r="T141" s="40" t="e">
        <f t="shared" si="19"/>
        <v>#N/A</v>
      </c>
      <c r="U141" s="39" cm="1">
        <f t="array" ref="U141">ktot_2*N141</f>
        <v>-1.2415231114030831</v>
      </c>
      <c r="V141" s="139">
        <f t="shared" si="20"/>
        <v>28.788060189811855</v>
      </c>
    </row>
    <row r="142" spans="1:22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1"/>
      <c r="M142" s="159">
        <f t="shared" si="15"/>
        <v>12.399999999999972</v>
      </c>
      <c r="N142" s="39">
        <f t="shared" si="10"/>
        <v>-6.1640698248127977E-2</v>
      </c>
      <c r="O142" s="39">
        <f t="shared" si="11"/>
        <v>-0.74666250790911015</v>
      </c>
      <c r="P142" s="39">
        <f t="shared" si="12"/>
        <v>-1.3999922023295812</v>
      </c>
      <c r="Q142" s="39">
        <f t="shared" si="13"/>
        <v>-3.4519764582020809</v>
      </c>
      <c r="R142" s="40" cm="1">
        <f t="array" ref="R142">(O142/WSchiene_2)*10^6*(1+3*Faktor_Oberbauzustand_2*fPersonenzüge_2)</f>
        <v>-4.5420742871080018</v>
      </c>
      <c r="S142" s="40" cm="1">
        <f t="array" ref="S142">(O142/WSchiene_2)*10^6*(1+3*Faktor_Oberbauzustand_2*fGüterzüge_2)</f>
        <v>-4.487569395662705</v>
      </c>
      <c r="T142" s="40" t="e">
        <f t="shared" si="19"/>
        <v>#N/A</v>
      </c>
      <c r="U142" s="39" cm="1">
        <f t="array" ref="U142">ktot_2*N142</f>
        <v>-1.2416741726868599</v>
      </c>
      <c r="V142" s="139">
        <f t="shared" si="20"/>
        <v>28.788060189811855</v>
      </c>
    </row>
    <row r="143" spans="1:22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1"/>
      <c r="M143" s="159">
        <f t="shared" si="15"/>
        <v>12.499999999999972</v>
      </c>
      <c r="N143" s="39">
        <f t="shared" si="10"/>
        <v>-5.9463329414258685E-2</v>
      </c>
      <c r="O143" s="39">
        <f t="shared" si="11"/>
        <v>-0.93304273933153947</v>
      </c>
      <c r="P143" s="39">
        <f t="shared" si="12"/>
        <v>-1.7494551362466362</v>
      </c>
      <c r="Q143" s="39">
        <f t="shared" si="13"/>
        <v>-4.3136511295956526</v>
      </c>
      <c r="R143" s="40" cm="1">
        <f t="array" ref="R143">(O143/WSchiene_2)*10^6*(1+3*Faktor_Oberbauzustand_2*fPersonenzüge_2)</f>
        <v>-5.6758567494679646</v>
      </c>
      <c r="S143" s="40" cm="1">
        <f t="array" ref="S143">(O143/WSchiene_2)*10^6*(1+3*Faktor_Oberbauzustand_2*fGüterzüge_2)</f>
        <v>-5.6077464684743488</v>
      </c>
      <c r="T143" s="40" t="e">
        <f t="shared" si="19"/>
        <v>#N/A</v>
      </c>
      <c r="U143" s="39" cm="1">
        <f t="array" ref="U143">ktot_2*N143</f>
        <v>-1.1978138219402505</v>
      </c>
      <c r="V143" s="139">
        <f t="shared" si="20"/>
        <v>28.788060189811855</v>
      </c>
    </row>
    <row r="144" spans="1:22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1"/>
      <c r="M144" s="159">
        <f t="shared" si="15"/>
        <v>12.599999999999971</v>
      </c>
      <c r="N144" s="39">
        <f t="shared" ref="N144:N207" si="21">(1/(ESchiene_1*ISchiene_1))*((Achslast_2_2*10^3/2)/(8*(1/Lelastisch_1)^3)*EXP(-(1/Lelastisch_1)*ABS(M144-$D$32)*10^3)*(COS(ABS(M144-$D$32)*10^3/Lelastisch_1)+SIN(ABS(M144-$D$32)*10^3/Lelastisch_1))+(Achslast_1_2*10^3/2)/(8*(1/Lelastisch_1)^3)*EXP(-(1/Lelastisch_1)*ABS(M144-$D$31)*10^3)*(COS(ABS(M144-$D$31)*10^3/Lelastisch_1)+SIN(ABS(M144-$D$31)*10^3/Lelastisch_1)))</f>
        <v>-5.4557145295489141E-2</v>
      </c>
      <c r="O144" s="39">
        <f t="shared" ref="O144:O207" si="22">((Achslast_2_2*10^3/2)/(4*(1/Lelastisch_2))*EXP(-(1/Lelastisch_2)*ABS(M144-$D$32)*10^3)*(COS(ABS(M144-$D$32)*10^3/Lelastisch_2)-SIN(ABS(M144-$D$32)*10^3/Lelastisch_2))+(Achslast_1_2*10^3/2)/(4*(1/Lelastisch_2))*EXP(-(1/Lelastisch_2)*ABS(M144-$D$31)*10^3)*(COS(ABS(M144-$D$31)*10^3/Lelastisch_2)-SIN(ABS(M144-$D$31)*10^3/Lelastisch_2)))*10^-6</f>
        <v>-1.1393102706189484</v>
      </c>
      <c r="P144" s="39">
        <f t="shared" ref="P144:P207" si="23">((Achslast_2_2*10^3*kd_2*kq_2/2)/(4*(1/Lelastisch_2))*EXP(-(1/Lelastisch_2)*ABS(M144-$D$32)*10^3)*(COS(ABS(M144-$D$32)*10^3/Lelastisch_2)-SIN(ABS(M144-$D$32)*10^3/Lelastisch_2))+(Achslast_1_2*10^3*kd_2*kq_2/2)/(4*(1/Lelastisch_2))*EXP(-(1/Lelastisch_2)*ABS(M144-$D$31)*10^3)*(COS(ABS(M144-$D$31)*10^3/Lelastisch_2)-SIN(ABS(M144-$D$31)*10^3/Lelastisch_2)))*10^-6</f>
        <v>-2.1362067574105286</v>
      </c>
      <c r="Q144" s="39">
        <f t="shared" ref="Q144:Q207" si="24">O144/WSchiene_1*10^6</f>
        <v>-5.267268934900363</v>
      </c>
      <c r="R144" s="40" cm="1">
        <f t="array" ref="R144">(O144/WSchiene_2)*10^6*(1+3*Faktor_Oberbauzustand_2*fPersonenzüge_2)</f>
        <v>-6.9306170196057408</v>
      </c>
      <c r="S144" s="40" cm="1">
        <f t="array" ref="S144">(O144/WSchiene_2)*10^6*(1+3*Faktor_Oberbauzustand_2*fGüterzüge_2)</f>
        <v>-6.847449615370472</v>
      </c>
      <c r="T144" s="40" t="e">
        <f t="shared" si="19"/>
        <v>#N/A</v>
      </c>
      <c r="U144" s="39" cm="1">
        <f t="array" ref="U144">ktot_2*N144</f>
        <v>-1.0989849267483049</v>
      </c>
      <c r="V144" s="139">
        <f t="shared" si="20"/>
        <v>28.788060189811855</v>
      </c>
    </row>
    <row r="145" spans="1:22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1"/>
      <c r="M145" s="159">
        <f t="shared" ref="M145:M208" si="25">MIN(M144+Dx,LSchiene)</f>
        <v>12.699999999999971</v>
      </c>
      <c r="N145" s="39">
        <f t="shared" si="21"/>
        <v>-4.6320361798041526E-2</v>
      </c>
      <c r="O145" s="39">
        <f t="shared" si="22"/>
        <v>-1.3638011103912948</v>
      </c>
      <c r="P145" s="39">
        <f t="shared" si="23"/>
        <v>-2.5571270819836776</v>
      </c>
      <c r="Q145" s="39">
        <f t="shared" si="24"/>
        <v>-6.3051368950129207</v>
      </c>
      <c r="R145" s="40" cm="1">
        <f t="array" ref="R145">(O145/WSchiene_2)*10^6*(1+3*Faktor_Oberbauzustand_2*fPersonenzüge_2)</f>
        <v>-8.2962327565959484</v>
      </c>
      <c r="S145" s="40" cm="1">
        <f t="array" ref="S145">(O145/WSchiene_2)*10^6*(1+3*Faktor_Oberbauzustand_2*fGüterzüge_2)</f>
        <v>-8.1966779635167981</v>
      </c>
      <c r="T145" s="40" t="e">
        <f t="shared" si="19"/>
        <v>#N/A</v>
      </c>
      <c r="U145" s="39" cm="1">
        <f t="array" ref="U145">ktot_2*N145</f>
        <v>-0.9330653050460207</v>
      </c>
      <c r="V145" s="139">
        <f t="shared" si="20"/>
        <v>28.788060189811855</v>
      </c>
    </row>
    <row r="146" spans="1:22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1"/>
      <c r="M146" s="159">
        <f t="shared" si="25"/>
        <v>12.799999999999971</v>
      </c>
      <c r="N146" s="39">
        <f t="shared" si="21"/>
        <v>-3.4098265086422476E-2</v>
      </c>
      <c r="O146" s="39">
        <f t="shared" si="22"/>
        <v>-1.6037316030862188</v>
      </c>
      <c r="P146" s="39">
        <f t="shared" si="23"/>
        <v>-3.0069967557866608</v>
      </c>
      <c r="Q146" s="39">
        <f t="shared" si="24"/>
        <v>-7.4143855898576918</v>
      </c>
      <c r="R146" s="40" cm="1">
        <f t="array" ref="R146">(O146/WSchiene_2)*10^6*(1+3*Faktor_Oberbauzustand_2*fPersonenzüge_2)</f>
        <v>-9.7557705129706473</v>
      </c>
      <c r="S146" s="40" cm="1">
        <f t="array" ref="S146">(O146/WSchiene_2)*10^6*(1+3*Faktor_Oberbauzustand_2*fGüterzüge_2)</f>
        <v>-9.6387012668149996</v>
      </c>
      <c r="T146" s="40" t="e">
        <f t="shared" si="19"/>
        <v>#N/A</v>
      </c>
      <c r="U146" s="39" cm="1">
        <f t="array" ref="U146">ktot_2*N146</f>
        <v>-0.68686657183554367</v>
      </c>
      <c r="V146" s="139">
        <f t="shared" si="20"/>
        <v>28.788060189811855</v>
      </c>
    </row>
    <row r="147" spans="1:22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1"/>
      <c r="M147" s="159">
        <f t="shared" si="25"/>
        <v>12.89999999999997</v>
      </c>
      <c r="N147" s="39">
        <f t="shared" si="21"/>
        <v>-1.719139176324349E-2</v>
      </c>
      <c r="O147" s="39">
        <f t="shared" si="22"/>
        <v>-1.8549788505055229</v>
      </c>
      <c r="P147" s="39">
        <f t="shared" si="23"/>
        <v>-3.4780853446978552</v>
      </c>
      <c r="Q147" s="39">
        <f t="shared" si="24"/>
        <v>-8.5759540014124962</v>
      </c>
      <c r="R147" s="40" cm="1">
        <f t="array" ref="R147">(O147/WSchiene_2)*10^6*(1+3*Faktor_Oberbauzustand_2*fPersonenzüge_2)</f>
        <v>-11.284150001858549</v>
      </c>
      <c r="S147" s="40" cm="1">
        <f t="array" ref="S147">(O147/WSchiene_2)*10^6*(1+3*Faktor_Oberbauzustand_2*fGüterzüge_2)</f>
        <v>-11.148740201836246</v>
      </c>
      <c r="T147" s="40" t="e">
        <f t="shared" si="19"/>
        <v>#N/A</v>
      </c>
      <c r="U147" s="39" cm="1">
        <f t="array" ref="U147">ktot_2*N147</f>
        <v>-0.34629891859814121</v>
      </c>
      <c r="V147" s="139">
        <f t="shared" si="20"/>
        <v>28.788060189811855</v>
      </c>
    </row>
    <row r="148" spans="1:22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1"/>
      <c r="M148" s="159">
        <f t="shared" si="25"/>
        <v>12.99999999999997</v>
      </c>
      <c r="N148" s="39">
        <f t="shared" si="21"/>
        <v>5.132377462934744E-3</v>
      </c>
      <c r="O148" s="39">
        <f t="shared" si="22"/>
        <v>-2.1118462190644571</v>
      </c>
      <c r="P148" s="39">
        <f t="shared" si="23"/>
        <v>-3.9597116607458576</v>
      </c>
      <c r="Q148" s="39">
        <f t="shared" si="24"/>
        <v>-9.7635054048287433</v>
      </c>
      <c r="R148" s="40" cm="1">
        <f t="array" ref="R148">(O148/WSchiene_2)*10^6*(1+3*Faktor_Oberbauzustand_2*fPersonenzüge_2)</f>
        <v>-12.846717637932558</v>
      </c>
      <c r="S148" s="40" cm="1">
        <f t="array" ref="S148">(O148/WSchiene_2)*10^6*(1+3*Faktor_Oberbauzustand_2*fGüterzüge_2)</f>
        <v>-12.692557026277367</v>
      </c>
      <c r="T148" s="40" t="e">
        <f t="shared" si="19"/>
        <v>#N/A</v>
      </c>
      <c r="U148" s="39" cm="1">
        <f t="array" ref="U148">ktot_2*N148</f>
        <v>0.10338527501024411</v>
      </c>
      <c r="V148" s="139">
        <f t="shared" si="20"/>
        <v>28.788060189811855</v>
      </c>
    </row>
    <row r="149" spans="1:22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1"/>
      <c r="M149" s="159">
        <f t="shared" si="25"/>
        <v>13.099999999999969</v>
      </c>
      <c r="N149" s="39">
        <f t="shared" si="21"/>
        <v>3.3621127022987272E-2</v>
      </c>
      <c r="O149" s="39">
        <f t="shared" si="22"/>
        <v>-2.3668180120807074</v>
      </c>
      <c r="P149" s="39">
        <f t="shared" si="23"/>
        <v>-4.4377837726513265</v>
      </c>
      <c r="Q149" s="39">
        <f t="shared" si="24"/>
        <v>-10.942293167270954</v>
      </c>
      <c r="R149" s="40" cm="1">
        <f t="array" ref="R149">(O149/WSchiene_2)*10^6*(1+3*Faktor_Oberbauzustand_2*fPersonenzüge_2)</f>
        <v>-14.397754167461782</v>
      </c>
      <c r="S149" s="40" cm="1">
        <f t="array" ref="S149">(O149/WSchiene_2)*10^6*(1+3*Faktor_Oberbauzustand_2*fGüterzüge_2)</f>
        <v>-14.22498111745224</v>
      </c>
      <c r="T149" s="40" t="e">
        <f t="shared" si="19"/>
        <v>#N/A</v>
      </c>
      <c r="U149" s="39" cm="1">
        <f t="array" ref="U149">ktot_2*N149</f>
        <v>0.67725522694473028</v>
      </c>
      <c r="V149" s="139">
        <f t="shared" si="20"/>
        <v>28.788060189811855</v>
      </c>
    </row>
    <row r="150" spans="1:22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1"/>
      <c r="M150" s="159">
        <f t="shared" si="25"/>
        <v>13.199999999999969</v>
      </c>
      <c r="N150" s="39">
        <f t="shared" si="21"/>
        <v>6.9016903790601936E-2</v>
      </c>
      <c r="O150" s="39">
        <f t="shared" si="22"/>
        <v>-2.6103089306960192</v>
      </c>
      <c r="P150" s="39">
        <f t="shared" si="23"/>
        <v>-4.8943292450550366</v>
      </c>
      <c r="Q150" s="39">
        <f t="shared" si="24"/>
        <v>-12.068002453518352</v>
      </c>
      <c r="R150" s="40" cm="1">
        <f t="array" ref="R150">(O150/WSchiene_2)*10^6*(1+3*Faktor_Oberbauzustand_2*fPersonenzüge_2)</f>
        <v>-15.878950596734674</v>
      </c>
      <c r="S150" s="40" cm="1">
        <f t="array" ref="S150">(O150/WSchiene_2)*10^6*(1+3*Faktor_Oberbauzustand_2*fGüterzüge_2)</f>
        <v>-15.688403189573858</v>
      </c>
      <c r="T150" s="40" t="e">
        <f t="shared" si="19"/>
        <v>#N/A</v>
      </c>
      <c r="U150" s="39" cm="1">
        <f t="array" ref="U150">ktot_2*N150</f>
        <v>1.3902585361807911</v>
      </c>
      <c r="V150" s="139">
        <f t="shared" si="20"/>
        <v>28.788060189811855</v>
      </c>
    </row>
    <row r="151" spans="1:22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1"/>
      <c r="M151" s="159">
        <f t="shared" si="25"/>
        <v>13.299999999999969</v>
      </c>
      <c r="N151" s="39">
        <f t="shared" si="21"/>
        <v>0.11202767280802835</v>
      </c>
      <c r="O151" s="39">
        <f t="shared" si="22"/>
        <v>-2.8304157308172049</v>
      </c>
      <c r="P151" s="39">
        <f t="shared" si="23"/>
        <v>-5.3070294952822605</v>
      </c>
      <c r="Q151" s="39">
        <f t="shared" si="24"/>
        <v>-13.085602084221938</v>
      </c>
      <c r="R151" s="40" cm="1">
        <f t="array" ref="R151">(O151/WSchiene_2)*10^6*(1+3*Faktor_Oberbauzustand_2*fPersonenzüge_2)</f>
        <v>-17.217897479239394</v>
      </c>
      <c r="S151" s="40" cm="1">
        <f t="array" ref="S151">(O151/WSchiene_2)*10^6*(1+3*Faktor_Oberbauzustand_2*fGüterzüge_2)</f>
        <v>-17.011282709488519</v>
      </c>
      <c r="T151" s="40" t="e">
        <f t="shared" si="19"/>
        <v>#N/A</v>
      </c>
      <c r="U151" s="39" cm="1">
        <f t="array" ref="U151">ktot_2*N151</f>
        <v>2.2566562661571949</v>
      </c>
      <c r="V151" s="139">
        <f t="shared" si="20"/>
        <v>28.788060189811855</v>
      </c>
    </row>
    <row r="152" spans="1:22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1"/>
      <c r="M152" s="159">
        <f t="shared" si="25"/>
        <v>13.399999999999968</v>
      </c>
      <c r="N152" s="39">
        <f t="shared" si="21"/>
        <v>0.16329250870318759</v>
      </c>
      <c r="O152" s="39">
        <f t="shared" si="22"/>
        <v>-3.0126805116110953</v>
      </c>
      <c r="P152" s="39">
        <f t="shared" si="23"/>
        <v>-5.6487759592708047</v>
      </c>
      <c r="Q152" s="39">
        <f t="shared" si="24"/>
        <v>-13.928250169260727</v>
      </c>
      <c r="R152" s="40" cm="1">
        <f t="array" ref="R152">(O152/WSchiene_2)*10^6*(1+3*Faktor_Oberbauzustand_2*fPersonenzüge_2)</f>
        <v>-18.32664495955359</v>
      </c>
      <c r="S152" s="40" cm="1">
        <f t="array" ref="S152">(O152/WSchiene_2)*10^6*(1+3*Faktor_Oberbauzustand_2*fGüterzüge_2)</f>
        <v>-18.106725220038946</v>
      </c>
      <c r="T152" s="40" t="e">
        <f t="shared" si="19"/>
        <v>#N/A</v>
      </c>
      <c r="U152" s="39" cm="1">
        <f t="array" ref="U152">ktot_2*N152</f>
        <v>3.2893217697473114</v>
      </c>
      <c r="V152" s="139">
        <f t="shared" si="20"/>
        <v>28.788060189811855</v>
      </c>
    </row>
    <row r="153" spans="1:22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1"/>
      <c r="M153" s="159">
        <f t="shared" si="25"/>
        <v>13.499999999999968</v>
      </c>
      <c r="N153" s="39">
        <f t="shared" si="21"/>
        <v>0.22333933457719998</v>
      </c>
      <c r="O153" s="39">
        <f t="shared" si="22"/>
        <v>-3.1398773411063443</v>
      </c>
      <c r="P153" s="39">
        <f t="shared" si="23"/>
        <v>-5.887270014574395</v>
      </c>
      <c r="Q153" s="39">
        <f t="shared" si="24"/>
        <v>-14.516307633408896</v>
      </c>
      <c r="R153" s="40" cm="1">
        <f t="array" ref="R153">(O153/WSchiene_2)*10^6*(1+3*Faktor_Oberbauzustand_2*fPersonenzüge_2)</f>
        <v>-19.100404780801181</v>
      </c>
      <c r="S153" s="40" cm="1">
        <f t="array" ref="S153">(O153/WSchiene_2)*10^6*(1+3*Faktor_Oberbauzustand_2*fGüterzüge_2)</f>
        <v>-18.871199923431565</v>
      </c>
      <c r="T153" s="40" t="e">
        <f t="shared" si="19"/>
        <v>#N/A</v>
      </c>
      <c r="U153" s="39" cm="1">
        <f t="array" ref="U153">ktot_2*N153</f>
        <v>4.4988893924153528</v>
      </c>
      <c r="V153" s="139">
        <f t="shared" si="20"/>
        <v>28.788060189811855</v>
      </c>
    </row>
    <row r="154" spans="1:22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1"/>
      <c r="M154" s="159">
        <f t="shared" si="25"/>
        <v>13.599999999999968</v>
      </c>
      <c r="N154" s="39">
        <f t="shared" si="21"/>
        <v>0.29253458888128803</v>
      </c>
      <c r="O154" s="39">
        <f t="shared" si="22"/>
        <v>-3.1918364245722626</v>
      </c>
      <c r="P154" s="39">
        <f t="shared" si="23"/>
        <v>-5.9846932960729919</v>
      </c>
      <c r="Q154" s="39">
        <f t="shared" si="24"/>
        <v>-14.756525310089055</v>
      </c>
      <c r="R154" s="40" cm="1">
        <f t="array" ref="R154">(O154/WSchiene_2)*10^6*(1+3*Faktor_Oberbauzustand_2*fPersonenzüge_2)</f>
        <v>-19.416480671169811</v>
      </c>
      <c r="S154" s="40" cm="1">
        <f t="array" ref="S154">(O154/WSchiene_2)*10^6*(1+3*Faktor_Oberbauzustand_2*fGüterzüge_2)</f>
        <v>-19.18348290311577</v>
      </c>
      <c r="T154" s="40" t="e">
        <f t="shared" si="19"/>
        <v>#N/A</v>
      </c>
      <c r="U154" s="39" cm="1">
        <f t="array" ref="U154">ktot_2*N154</f>
        <v>5.8927405748927466</v>
      </c>
      <c r="V154" s="139">
        <f t="shared" si="20"/>
        <v>28.788060189811855</v>
      </c>
    </row>
    <row r="155" spans="1:22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1"/>
      <c r="M155" s="159">
        <f t="shared" si="25"/>
        <v>13.699999999999967</v>
      </c>
      <c r="N155" s="39">
        <f t="shared" si="21"/>
        <v>0.37102431106505085</v>
      </c>
      <c r="O155" s="39">
        <f t="shared" si="22"/>
        <v>-3.1453227282790608</v>
      </c>
      <c r="P155" s="39">
        <f t="shared" si="23"/>
        <v>-5.8974801155232406</v>
      </c>
      <c r="Q155" s="39">
        <f t="shared" si="24"/>
        <v>-14.541482793708093</v>
      </c>
      <c r="R155" s="40" cm="1">
        <f t="array" ref="R155">(O155/WSchiene_2)*10^6*(1+3*Faktor_Oberbauzustand_2*fPersonenzüge_2)</f>
        <v>-19.133529991721176</v>
      </c>
      <c r="S155" s="40" cm="1">
        <f t="array" ref="S155">(O155/WSchiene_2)*10^6*(1+3*Faktor_Oberbauzustand_2*fGüterzüge_2)</f>
        <v>-18.903927631820522</v>
      </c>
      <c r="T155" s="40" t="e">
        <f t="shared" si="19"/>
        <v>#N/A</v>
      </c>
      <c r="U155" s="39" cm="1">
        <f t="array" ref="U155">ktot_2*N155</f>
        <v>7.4738170978197882</v>
      </c>
      <c r="V155" s="139">
        <f t="shared" si="20"/>
        <v>28.788060189811855</v>
      </c>
    </row>
    <row r="156" spans="1:22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1"/>
      <c r="M156" s="159">
        <f t="shared" si="25"/>
        <v>13.799999999999967</v>
      </c>
      <c r="N156" s="39">
        <f t="shared" si="21"/>
        <v>0.45866629645799661</v>
      </c>
      <c r="O156" s="39">
        <f t="shared" si="22"/>
        <v>-2.9739888477554537</v>
      </c>
      <c r="P156" s="39">
        <f t="shared" si="23"/>
        <v>-5.5762290895414761</v>
      </c>
      <c r="Q156" s="39">
        <f t="shared" si="24"/>
        <v>-13.749370539784808</v>
      </c>
      <c r="R156" s="40" cm="1">
        <f t="array" ref="R156">(O156/WSchiene_2)*10^6*(1+3*Faktor_Oberbauzustand_2*fPersonenzüge_2)</f>
        <v>-18.091277026032643</v>
      </c>
      <c r="S156" s="40" cm="1">
        <f t="array" ref="S156">(O156/WSchiene_2)*10^6*(1+3*Faktor_Oberbauzustand_2*fGüterzüge_2)</f>
        <v>-17.87418170172025</v>
      </c>
      <c r="T156" s="40" t="e">
        <f t="shared" si="19"/>
        <v>#N/A</v>
      </c>
      <c r="U156" s="39" cm="1">
        <f t="array" ref="U156">ktot_2*N156</f>
        <v>9.239254427347845</v>
      </c>
      <c r="V156" s="139">
        <f t="shared" si="20"/>
        <v>28.788060189811855</v>
      </c>
    </row>
    <row r="157" spans="1:2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59">
        <f t="shared" si="25"/>
        <v>13.899999999999967</v>
      </c>
      <c r="N157" s="39">
        <f t="shared" si="21"/>
        <v>0.55495318832771934</v>
      </c>
      <c r="O157" s="39">
        <f t="shared" si="22"/>
        <v>-2.6484249019045261</v>
      </c>
      <c r="P157" s="39">
        <f t="shared" si="23"/>
        <v>-4.9657966910709863</v>
      </c>
      <c r="Q157" s="39">
        <f t="shared" si="24"/>
        <v>-12.244220535850792</v>
      </c>
      <c r="R157" s="40" cm="1">
        <f t="array" ref="R157">(O157/WSchiene_2)*10^6*(1+3*Faktor_Oberbauzustand_2*fPersonenzüge_2)</f>
        <v>-16.110816494540515</v>
      </c>
      <c r="S157" s="40" cm="1">
        <f t="array" ref="S157">(O157/WSchiene_2)*10^6*(1+3*Faktor_Oberbauzustand_2*fGüterzüge_2)</f>
        <v>-15.91748669660603</v>
      </c>
      <c r="T157" s="40" t="e">
        <f t="shared" si="19"/>
        <v>#N/A</v>
      </c>
      <c r="U157" s="39" cm="1">
        <f t="array" ref="U157">ktot_2*N157</f>
        <v>11.178832501588074</v>
      </c>
      <c r="V157" s="139">
        <f t="shared" si="20"/>
        <v>28.788060189811855</v>
      </c>
    </row>
    <row r="158" spans="1:22">
      <c r="A158" s="322" t="s">
        <v>194</v>
      </c>
      <c r="B158" s="49"/>
      <c r="C158" s="312"/>
      <c r="D158" s="49"/>
      <c r="E158" s="49"/>
      <c r="F158" s="1"/>
      <c r="G158" s="1"/>
      <c r="H158" s="1"/>
      <c r="I158" s="1"/>
      <c r="J158" s="1"/>
      <c r="K158" s="1"/>
      <c r="L158" s="1"/>
      <c r="M158" s="159">
        <f t="shared" si="25"/>
        <v>13.999999999999966</v>
      </c>
      <c r="N158" s="39">
        <f t="shared" si="21"/>
        <v>0.65892665905911196</v>
      </c>
      <c r="O158" s="39">
        <f t="shared" si="22"/>
        <v>-2.1363312690581804</v>
      </c>
      <c r="P158" s="39">
        <f t="shared" si="23"/>
        <v>-4.005621129484088</v>
      </c>
      <c r="Q158" s="39">
        <f t="shared" si="24"/>
        <v>-9.8767048962467889</v>
      </c>
      <c r="R158" s="40" cm="1">
        <f t="array" ref="R158">(O158/WSchiene_2)*10^6*(1+3*Faktor_Oberbauzustand_2*fPersonenzüge_2)</f>
        <v>-12.995664337166829</v>
      </c>
      <c r="S158" s="40" cm="1">
        <f t="array" ref="S158">(O158/WSchiene_2)*10^6*(1+3*Faktor_Oberbauzustand_2*fGüterzüge_2)</f>
        <v>-12.839716365120825</v>
      </c>
      <c r="T158" s="40" t="e">
        <f t="shared" si="19"/>
        <v>#N/A</v>
      </c>
      <c r="U158" s="39" cm="1">
        <f t="array" ref="U158">ktot_2*N158</f>
        <v>13.273247018634921</v>
      </c>
      <c r="V158" s="139">
        <f t="shared" si="20"/>
        <v>28.788060189811855</v>
      </c>
    </row>
    <row r="159" spans="1:22">
      <c r="A159" s="321" t="s">
        <v>195</v>
      </c>
      <c r="B159" s="49"/>
      <c r="C159" s="49"/>
      <c r="D159" s="49"/>
      <c r="E159" s="49"/>
      <c r="F159" s="1"/>
      <c r="G159" s="1"/>
      <c r="H159" s="1"/>
      <c r="I159" s="1"/>
      <c r="J159" s="1"/>
      <c r="K159" s="1"/>
      <c r="L159" s="1"/>
      <c r="M159" s="159">
        <f t="shared" si="25"/>
        <v>14.099999999999966</v>
      </c>
      <c r="N159" s="39">
        <f t="shared" si="21"/>
        <v>0.76908319175599216</v>
      </c>
      <c r="O159" s="39">
        <f t="shared" si="22"/>
        <v>-1.402842962649165</v>
      </c>
      <c r="P159" s="39">
        <f t="shared" si="23"/>
        <v>-2.630330554967184</v>
      </c>
      <c r="Q159" s="39">
        <f t="shared" si="24"/>
        <v>-6.4856355184889729</v>
      </c>
      <c r="R159" s="40" cm="1">
        <f t="array" ref="R159">(O159/WSchiene_2)*10^6*(1+3*Faktor_Oberbauzustand_2*fPersonenzüge_2)</f>
        <v>-8.5337309453802277</v>
      </c>
      <c r="S159" s="40" cm="1">
        <f t="array" ref="S159">(O159/WSchiene_2)*10^6*(1+3*Faktor_Oberbauzustand_2*fGüterzüge_2)</f>
        <v>-8.4313261740356644</v>
      </c>
      <c r="T159" s="40" t="e">
        <f t="shared" si="19"/>
        <v>#N/A</v>
      </c>
      <c r="U159" s="39" cm="1">
        <f t="array" ref="U159">ktot_2*N159</f>
        <v>15.492211525686164</v>
      </c>
      <c r="V159" s="139">
        <f t="shared" si="20"/>
        <v>28.788060189811855</v>
      </c>
    </row>
    <row r="160" spans="1:22">
      <c r="A160" s="314" t="s">
        <v>196</v>
      </c>
      <c r="B160" s="315" t="s">
        <v>197</v>
      </c>
      <c r="C160" s="316">
        <f>(Maximales_Biegemoment__charakteristisch_2/WSchiene_2)*10^6*(1+D131*Faktor_Oberbauzustand_2*fPersonenzüge_2)*Faktor_Radkraftverlagerung_2</f>
        <v>99.239499685807914</v>
      </c>
      <c r="D160" s="320" t="str">
        <f>IF(C162/C160&gt;=1.5,"Nachweis erfüllt", "Nachweis nicht erfüllt")</f>
        <v>Nachweis erfüllt</v>
      </c>
      <c r="E160" s="49"/>
      <c r="F160" s="1"/>
      <c r="G160" s="1"/>
      <c r="H160" s="1"/>
      <c r="I160" s="1"/>
      <c r="J160" s="1"/>
      <c r="K160" s="1"/>
      <c r="L160" s="1"/>
      <c r="M160" s="159">
        <f t="shared" si="25"/>
        <v>14.199999999999966</v>
      </c>
      <c r="N160" s="39">
        <f t="shared" si="21"/>
        <v>0.88327241695471159</v>
      </c>
      <c r="O160" s="39">
        <f t="shared" si="22"/>
        <v>-0.41103725176804479</v>
      </c>
      <c r="P160" s="39">
        <f t="shared" si="23"/>
        <v>-0.77069484706508395</v>
      </c>
      <c r="Q160" s="39">
        <f t="shared" si="24"/>
        <v>-1.9003109189461156</v>
      </c>
      <c r="R160" s="40" cm="1">
        <f t="array" ref="R160">(O160/WSchiene_2)*10^6*(1+3*Faktor_Oberbauzustand_2*fPersonenzüge_2)</f>
        <v>-2.5004091038764682</v>
      </c>
      <c r="S160" s="40" cm="1">
        <f t="array" ref="S160">(O160/WSchiene_2)*10^6*(1+3*Faktor_Oberbauzustand_2*fGüterzüge_2)</f>
        <v>-2.4704041946299502</v>
      </c>
      <c r="T160" s="40" t="e">
        <f t="shared" si="19"/>
        <v>#N/A</v>
      </c>
      <c r="U160" s="39" cm="1">
        <f t="array" ref="U160">ktot_2*N160</f>
        <v>17.792409540277596</v>
      </c>
      <c r="V160" s="139">
        <f t="shared" si="20"/>
        <v>28.788060189811855</v>
      </c>
    </row>
    <row r="161" spans="1:22">
      <c r="A161" s="314" t="s">
        <v>198</v>
      </c>
      <c r="B161" s="315" t="s">
        <v>199</v>
      </c>
      <c r="C161" s="316">
        <f>(Maximales_Biegemoment__charakteristisch_2/WSchiene_2)*10^6*(1+D131*Faktor_Oberbauzustand_2*fGüterzüge_2)*Faktor_Radkraftverlagerung_2</f>
        <v>98.048625689578216</v>
      </c>
      <c r="D161" s="320" t="str">
        <f>IF(C162/C161&gt;=1.5,"Nachweis erfüllt", "Nachweis nicht erfüllt")</f>
        <v>Nachweis erfüllt</v>
      </c>
      <c r="E161" s="49"/>
      <c r="F161" s="1"/>
      <c r="G161" s="1"/>
      <c r="H161" s="1"/>
      <c r="I161" s="1"/>
      <c r="J161" s="1"/>
      <c r="K161" s="1"/>
      <c r="L161" s="1"/>
      <c r="M161" s="159">
        <f t="shared" si="25"/>
        <v>14.299999999999965</v>
      </c>
      <c r="N161" s="39">
        <f t="shared" si="21"/>
        <v>0.99858949471910186</v>
      </c>
      <c r="O161" s="39">
        <f t="shared" si="22"/>
        <v>0.87734138363667247</v>
      </c>
      <c r="P161" s="39">
        <f t="shared" si="23"/>
        <v>1.6450150943187609</v>
      </c>
      <c r="Q161" s="39">
        <f t="shared" si="24"/>
        <v>4.0561321481122166</v>
      </c>
      <c r="R161" s="40" cm="1">
        <f t="array" ref="R161">(O161/WSchiene_2)*10^6*(1+3*Faktor_Oberbauzustand_2*fPersonenzüge_2)</f>
        <v>5.3370159843581799</v>
      </c>
      <c r="S161" s="40" cm="1">
        <f t="array" ref="S161">(O161/WSchiene_2)*10^6*(1+3*Faktor_Oberbauzustand_2*fGüterzüge_2)</f>
        <v>5.2729717925458814</v>
      </c>
      <c r="T161" s="40" t="e">
        <f t="shared" si="19"/>
        <v>#N/A</v>
      </c>
      <c r="U161" s="39" cm="1">
        <f t="array" ref="U161">ktot_2*N161</f>
        <v>20.11532672323008</v>
      </c>
      <c r="V161" s="139">
        <f t="shared" si="20"/>
        <v>28.788060189811855</v>
      </c>
    </row>
    <row r="162" spans="1:22">
      <c r="A162" s="318" t="s">
        <v>200</v>
      </c>
      <c r="B162" s="315" t="s">
        <v>201</v>
      </c>
      <c r="C162" s="319">
        <v>200</v>
      </c>
      <c r="D162" s="49"/>
      <c r="E162" s="49"/>
      <c r="F162" s="1"/>
      <c r="G162" s="1"/>
      <c r="H162" s="1"/>
      <c r="I162" s="1"/>
      <c r="J162" s="1"/>
      <c r="K162" s="1"/>
      <c r="L162" s="1"/>
      <c r="M162" s="159">
        <f t="shared" si="25"/>
        <v>14.399999999999965</v>
      </c>
      <c r="N162" s="39">
        <f t="shared" si="21"/>
        <v>1.1112636673670033</v>
      </c>
      <c r="O162" s="39">
        <f t="shared" si="22"/>
        <v>2.5009028917760014</v>
      </c>
      <c r="P162" s="39">
        <f t="shared" si="23"/>
        <v>4.6891929220800028</v>
      </c>
      <c r="Q162" s="39">
        <f t="shared" si="24"/>
        <v>11.562195523698575</v>
      </c>
      <c r="R162" s="40" cm="1">
        <f t="array" ref="R162">(O162/WSchiene_2)*10^6*(1+3*Faktor_Oberbauzustand_2*fPersonenzüge_2)</f>
        <v>15.213415162761285</v>
      </c>
      <c r="S162" s="40" cm="1">
        <f t="array" ref="S162">(O162/WSchiene_2)*10^6*(1+3*Faktor_Oberbauzustand_2*fGüterzüge_2)</f>
        <v>15.030854180808149</v>
      </c>
      <c r="T162" s="40" t="e">
        <f t="shared" si="19"/>
        <v>#N/A</v>
      </c>
      <c r="U162" s="39" cm="1">
        <f t="array" ref="U162">ktot_2*N162</f>
        <v>22.385005913796491</v>
      </c>
      <c r="V162" s="139">
        <f t="shared" si="20"/>
        <v>28.788060189811855</v>
      </c>
    </row>
    <row r="163" spans="1:22">
      <c r="A163" s="49"/>
      <c r="B163" s="336">
        <v>1.5</v>
      </c>
      <c r="C163" s="312"/>
      <c r="D163" s="49"/>
      <c r="E163" s="49"/>
      <c r="F163" s="1"/>
      <c r="G163" s="1"/>
      <c r="H163" s="1"/>
      <c r="I163" s="1"/>
      <c r="J163" s="1"/>
      <c r="K163" s="1"/>
      <c r="L163" s="1"/>
      <c r="M163" s="159">
        <f t="shared" si="25"/>
        <v>14.499999999999964</v>
      </c>
      <c r="N163" s="39">
        <f t="shared" si="21"/>
        <v>1.2165458481933455</v>
      </c>
      <c r="O163" s="39">
        <f t="shared" si="22"/>
        <v>4.4973425461874932</v>
      </c>
      <c r="P163" s="39">
        <f t="shared" si="23"/>
        <v>8.4325172741015475</v>
      </c>
      <c r="Q163" s="39">
        <f t="shared" si="24"/>
        <v>20.792152317094281</v>
      </c>
      <c r="R163" s="40" cm="1">
        <f t="array" ref="R163">(O163/WSchiene_2)*10^6*(1+3*Faktor_Oberbauzustand_2*fPersonenzüge_2)</f>
        <v>27.358095154071425</v>
      </c>
      <c r="S163" s="40" cm="1">
        <f t="array" ref="S163">(O163/WSchiene_2)*10^6*(1+3*Faktor_Oberbauzustand_2*fGüterzüge_2)</f>
        <v>27.029798012222567</v>
      </c>
      <c r="T163" s="40" t="e">
        <f t="shared" si="19"/>
        <v>#N/A</v>
      </c>
      <c r="U163" s="39" cm="1">
        <f t="array" ref="U163">ktot_2*N163</f>
        <v>24.50578274617423</v>
      </c>
      <c r="V163" s="139">
        <f t="shared" si="20"/>
        <v>28.788060189811855</v>
      </c>
    </row>
    <row r="164" spans="1:22" ht="25" customHeight="1">
      <c r="A164" s="49"/>
      <c r="B164" s="336"/>
      <c r="C164" s="49"/>
      <c r="D164" s="49"/>
      <c r="E164" s="49"/>
      <c r="F164" s="1"/>
      <c r="G164" s="1"/>
      <c r="H164" s="1"/>
      <c r="I164" s="1"/>
      <c r="J164" s="1"/>
      <c r="K164" s="1"/>
      <c r="L164" s="1"/>
      <c r="M164" s="159">
        <f t="shared" si="25"/>
        <v>14.599999999999964</v>
      </c>
      <c r="N164" s="39">
        <f t="shared" si="21"/>
        <v>1.3085989604356363</v>
      </c>
      <c r="O164" s="39">
        <f t="shared" si="22"/>
        <v>6.9018434650881257</v>
      </c>
      <c r="P164" s="39">
        <f t="shared" si="23"/>
        <v>12.940956497040236</v>
      </c>
      <c r="Q164" s="39">
        <f t="shared" si="24"/>
        <v>31.908661419732432</v>
      </c>
      <c r="R164" s="40" cm="1">
        <f t="array" ref="R164">(O164/WSchiene_2)*10^6*(1+3*Faktor_Oberbauzustand_2*fPersonenzüge_2)</f>
        <v>41.985080815437414</v>
      </c>
      <c r="S164" s="40" cm="1">
        <f t="array" ref="S164">(O164/WSchiene_2)*10^6*(1+3*Faktor_Oberbauzustand_2*fGüterzüge_2)</f>
        <v>41.481259845652161</v>
      </c>
      <c r="T164" s="40" t="e">
        <f t="shared" si="19"/>
        <v>#N/A</v>
      </c>
      <c r="U164" s="39" cm="1">
        <f t="array" ref="U164">ktot_2*N164</f>
        <v>26.36007666618459</v>
      </c>
      <c r="V164" s="139">
        <f t="shared" si="20"/>
        <v>28.788060189811855</v>
      </c>
    </row>
    <row r="165" spans="1:2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59">
        <f t="shared" si="25"/>
        <v>14.699999999999964</v>
      </c>
      <c r="N165" s="39">
        <f t="shared" si="21"/>
        <v>1.380395699181072</v>
      </c>
      <c r="O165" s="39">
        <f t="shared" si="22"/>
        <v>9.7451140671043426</v>
      </c>
      <c r="P165" s="39">
        <f t="shared" si="23"/>
        <v>18.272088875820643</v>
      </c>
      <c r="Q165" s="39">
        <f t="shared" si="24"/>
        <v>45.053694253834223</v>
      </c>
      <c r="R165" s="40" cm="1">
        <f t="array" ref="R165">(O165/WSchiene_2)*10^6*(1+3*Faktor_Oberbauzustand_2*fPersonenzüge_2)</f>
        <v>59.281176649781877</v>
      </c>
      <c r="S165" s="40" cm="1">
        <f t="array" ref="S165">(O165/WSchiene_2)*10^6*(1+3*Faktor_Oberbauzustand_2*fGüterzüge_2)</f>
        <v>58.569802529984493</v>
      </c>
      <c r="T165" s="40" t="e">
        <f t="shared" si="19"/>
        <v>#N/A</v>
      </c>
      <c r="U165" s="39" cm="1">
        <f t="array" ref="U165">ktot_2*N165</f>
        <v>27.806331473755023</v>
      </c>
      <c r="V165" s="139">
        <f t="shared" si="20"/>
        <v>28.788060189811855</v>
      </c>
    </row>
    <row r="166" spans="1:2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38">
        <f t="shared" si="25"/>
        <v>14.799999999999963</v>
      </c>
      <c r="N166" s="39">
        <f t="shared" si="21"/>
        <v>1.4236294540879795</v>
      </c>
      <c r="O166" s="39">
        <f t="shared" si="22"/>
        <v>13.051026299478334</v>
      </c>
      <c r="P166" s="39">
        <f t="shared" si="23"/>
        <v>24.470674311521876</v>
      </c>
      <c r="Q166" s="39">
        <f t="shared" si="24"/>
        <v>60.337615808961324</v>
      </c>
      <c r="R166" s="40" cm="1">
        <f t="array" ref="R166">(O166/WSchiene_2)*10^6*(1+3*Faktor_Oberbauzustand_2*fPersonenzüge_2)</f>
        <v>79.391599748633325</v>
      </c>
      <c r="S166" s="40" cm="1">
        <f t="array" ref="S166">(O166/WSchiene_2)*10^6*(1+3*Faktor_Oberbauzustand_2*fGüterzüge_2)</f>
        <v>78.438900551649724</v>
      </c>
      <c r="T166" s="40" t="e">
        <f t="shared" si="19"/>
        <v>#N/A</v>
      </c>
      <c r="U166" s="39" cm="1">
        <f t="array" ref="U166">ktot_2*N166</f>
        <v>28.677220973417871</v>
      </c>
      <c r="V166" s="139">
        <f t="shared" si="20"/>
        <v>28.788060189811855</v>
      </c>
    </row>
    <row r="167" spans="1:22">
      <c r="A167" s="138"/>
      <c r="B167" s="138"/>
      <c r="C167" s="138"/>
      <c r="D167" s="138"/>
      <c r="E167" s="138"/>
      <c r="F167" s="138"/>
      <c r="G167" s="138"/>
      <c r="H167" s="138"/>
      <c r="I167" s="138"/>
      <c r="J167" s="138"/>
      <c r="K167" s="138"/>
      <c r="L167" s="220"/>
      <c r="M167" s="38">
        <f t="shared" si="25"/>
        <v>14.899999999999963</v>
      </c>
      <c r="N167" s="39">
        <f t="shared" si="21"/>
        <v>1.4291318691676265</v>
      </c>
      <c r="O167" s="39">
        <f t="shared" si="22"/>
        <v>12.833826967877984</v>
      </c>
      <c r="P167" s="39">
        <f t="shared" si="23"/>
        <v>24.063425564771219</v>
      </c>
      <c r="Q167" s="39">
        <f t="shared" si="24"/>
        <v>59.333458011456237</v>
      </c>
      <c r="R167" s="40" cm="1">
        <f t="array" ref="R167">(O167/WSchiene_2)*10^6*(1+3*Faktor_Oberbauzustand_2*fPersonenzüge_2)</f>
        <v>78.070339488758208</v>
      </c>
      <c r="S167" s="40" cm="1">
        <f t="array" ref="S167">(O167/WSchiene_2)*10^6*(1+3*Faktor_Oberbauzustand_2*fGüterzüge_2)</f>
        <v>77.133495414893105</v>
      </c>
      <c r="T167" s="40">
        <f t="shared" si="19"/>
        <v>1.4291318691676265</v>
      </c>
      <c r="U167" s="39" cm="1">
        <f t="array" ref="U167">ktot_2*N167</f>
        <v>28.788060189811855</v>
      </c>
      <c r="V167" s="139">
        <f t="shared" si="20"/>
        <v>28.788060189811855</v>
      </c>
    </row>
    <row r="168" spans="1:2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38">
        <f t="shared" si="25"/>
        <v>14.999999999999963</v>
      </c>
      <c r="N168" s="39">
        <f t="shared" si="21"/>
        <v>1.3975365945041931</v>
      </c>
      <c r="O168" s="39">
        <f t="shared" si="22"/>
        <v>9.0953811280450125</v>
      </c>
      <c r="P168" s="39">
        <f t="shared" si="23"/>
        <v>17.053839615084399</v>
      </c>
      <c r="Q168" s="39">
        <f t="shared" si="24"/>
        <v>42.049843402889564</v>
      </c>
      <c r="R168" s="40" cm="1">
        <f t="array" ref="R168">(O168/WSchiene_2)*10^6*(1+3*Faktor_Oberbauzustand_2*fPersonenzüge_2)</f>
        <v>55.328741319591536</v>
      </c>
      <c r="S168" s="40" cm="1">
        <f t="array" ref="S168">(O168/WSchiene_2)*10^6*(1+3*Faktor_Oberbauzustand_2*fGüterzüge_2)</f>
        <v>54.664796423756435</v>
      </c>
      <c r="T168" s="40" t="e">
        <f t="shared" si="19"/>
        <v>#N/A</v>
      </c>
      <c r="U168" s="39" cm="1">
        <f t="array" ref="U168">ktot_2*N168</f>
        <v>28.151613205213909</v>
      </c>
      <c r="V168" s="139">
        <f t="shared" si="20"/>
        <v>28.788060189811855</v>
      </c>
    </row>
    <row r="169" spans="1:2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38">
        <f t="shared" si="25"/>
        <v>15.099999999999962</v>
      </c>
      <c r="N169" s="39">
        <f t="shared" si="21"/>
        <v>1.3392737895886391</v>
      </c>
      <c r="O169" s="39">
        <f t="shared" si="22"/>
        <v>5.8253846676030134</v>
      </c>
      <c r="P169" s="39">
        <f t="shared" si="23"/>
        <v>10.922596251755646</v>
      </c>
      <c r="Q169" s="39">
        <f t="shared" si="24"/>
        <v>26.93196795008328</v>
      </c>
      <c r="R169" s="40" cm="1">
        <f t="array" ref="R169">(O169/WSchiene_2)*10^6*(1+3*Faktor_Oberbauzustand_2*fPersonenzüge_2)</f>
        <v>35.436799934320106</v>
      </c>
      <c r="S169" s="40" cm="1">
        <f t="array" ref="S169">(O169/WSchiene_2)*10^6*(1+3*Faktor_Oberbauzustand_2*fGüterzüge_2)</f>
        <v>35.011558335108262</v>
      </c>
      <c r="T169" s="40" t="e">
        <f t="shared" si="19"/>
        <v>#N/A</v>
      </c>
      <c r="U169" s="39" cm="1">
        <f t="array" ref="U169">ktot_2*N169</f>
        <v>26.977982436128105</v>
      </c>
      <c r="V169" s="139">
        <f t="shared" si="20"/>
        <v>28.788060189811855</v>
      </c>
    </row>
    <row r="170" spans="1:2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38">
        <f t="shared" si="25"/>
        <v>15.199999999999962</v>
      </c>
      <c r="N170" s="39">
        <f t="shared" si="21"/>
        <v>1.2638947580964899</v>
      </c>
      <c r="O170" s="39">
        <f t="shared" si="22"/>
        <v>3.0045442152186461</v>
      </c>
      <c r="P170" s="39">
        <f t="shared" si="23"/>
        <v>5.6335204035349618</v>
      </c>
      <c r="Q170" s="39">
        <f t="shared" si="24"/>
        <v>13.890634374566094</v>
      </c>
      <c r="R170" s="40" cm="1">
        <f t="array" ref="R170">(O170/WSchiene_2)*10^6*(1+3*Faktor_Oberbauzustand_2*fPersonenzüge_2)</f>
        <v>18.277150492850126</v>
      </c>
      <c r="S170" s="40" cm="1">
        <f t="array" ref="S170">(O170/WSchiene_2)*10^6*(1+3*Faktor_Oberbauzustand_2*fGüterzüge_2)</f>
        <v>18.057824686935923</v>
      </c>
      <c r="T170" s="40" t="e">
        <f t="shared" si="19"/>
        <v>#N/A</v>
      </c>
      <c r="U170" s="39" cm="1">
        <f t="array" ref="U170">ktot_2*N170</f>
        <v>25.459566856389056</v>
      </c>
      <c r="V170" s="139">
        <f t="shared" si="20"/>
        <v>28.788060189811855</v>
      </c>
    </row>
    <row r="171" spans="1:2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38">
        <f t="shared" si="25"/>
        <v>15.299999999999962</v>
      </c>
      <c r="N171" s="39">
        <f t="shared" si="21"/>
        <v>1.1796409195828108</v>
      </c>
      <c r="O171" s="39">
        <f t="shared" si="22"/>
        <v>0.60778331532825336</v>
      </c>
      <c r="P171" s="39">
        <f t="shared" si="23"/>
        <v>1.1395937162404743</v>
      </c>
      <c r="Q171" s="39">
        <f t="shared" si="24"/>
        <v>2.8099089936581292</v>
      </c>
      <c r="R171" s="40" cm="1">
        <f t="array" ref="R171">(O171/WSchiene_2)*10^6*(1+3*Faktor_Oberbauzustand_2*fPersonenzüge_2)</f>
        <v>3.6972486758659597</v>
      </c>
      <c r="S171" s="40" cm="1">
        <f t="array" ref="S171">(O171/WSchiene_2)*10^6*(1+3*Faktor_Oberbauzustand_2*fGüterzüge_2)</f>
        <v>3.6528816917555682</v>
      </c>
      <c r="T171" s="40" t="e">
        <f t="shared" si="19"/>
        <v>#N/A</v>
      </c>
      <c r="U171" s="39" cm="1">
        <f t="array" ref="U171">ktot_2*N171</f>
        <v>23.762379475236347</v>
      </c>
      <c r="V171" s="139">
        <f t="shared" si="20"/>
        <v>28.788060189811855</v>
      </c>
    </row>
    <row r="172" spans="1:2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38">
        <f t="shared" si="25"/>
        <v>15.399999999999961</v>
      </c>
      <c r="N172" s="39">
        <f t="shared" si="21"/>
        <v>1.0935163454389563</v>
      </c>
      <c r="O172" s="39">
        <f t="shared" si="22"/>
        <v>-1.3929886477020563</v>
      </c>
      <c r="P172" s="39">
        <f t="shared" si="23"/>
        <v>-2.6118537144413554</v>
      </c>
      <c r="Q172" s="39">
        <f t="shared" si="24"/>
        <v>-6.4400769657977639</v>
      </c>
      <c r="R172" s="40" cm="1">
        <f t="array" ref="R172">(O172/WSchiene_2)*10^6*(1+3*Faktor_Oberbauzustand_2*fPersonenzüge_2)</f>
        <v>-8.4737854813128486</v>
      </c>
      <c r="S172" s="40" cm="1">
        <f t="array" ref="S172">(O172/WSchiene_2)*10^6*(1+3*Faktor_Oberbauzustand_2*fGüterzüge_2)</f>
        <v>-8.3721000555370928</v>
      </c>
      <c r="T172" s="40" t="e">
        <f t="shared" si="19"/>
        <v>#N/A</v>
      </c>
      <c r="U172" s="39" cm="1">
        <f t="array" ref="U172">ktot_2*N172</f>
        <v>22.027508482737062</v>
      </c>
      <c r="V172" s="139">
        <f t="shared" si="20"/>
        <v>28.788060189811855</v>
      </c>
    </row>
    <row r="173" spans="1:2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38">
        <f t="shared" si="25"/>
        <v>15.499999999999961</v>
      </c>
      <c r="N173" s="39">
        <f t="shared" si="21"/>
        <v>1.0113691955609243</v>
      </c>
      <c r="O173" s="39">
        <f t="shared" si="22"/>
        <v>-3.0265226917462718</v>
      </c>
      <c r="P173" s="39">
        <f t="shared" si="23"/>
        <v>-5.6747300470242603</v>
      </c>
      <c r="Q173" s="39">
        <f t="shared" si="24"/>
        <v>-13.992245454213</v>
      </c>
      <c r="R173" s="40" cm="1">
        <f t="array" ref="R173">(O173/WSchiene_2)*10^6*(1+3*Faktor_Oberbauzustand_2*fPersonenzüge_2)</f>
        <v>-18.41084928185921</v>
      </c>
      <c r="S173" s="40" cm="1">
        <f t="array" ref="S173">(O173/WSchiene_2)*10^6*(1+3*Faktor_Oberbauzustand_2*fGüterzüge_2)</f>
        <v>-18.189919090476902</v>
      </c>
      <c r="T173" s="40" t="e">
        <f t="shared" si="19"/>
        <v>#N/A</v>
      </c>
      <c r="U173" s="39" cm="1">
        <f t="array" ref="U173">ktot_2*N173</f>
        <v>20.372757688824915</v>
      </c>
      <c r="V173" s="139">
        <f t="shared" si="20"/>
        <v>28.788060189811855</v>
      </c>
    </row>
    <row r="174" spans="1:2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38">
        <f t="shared" si="25"/>
        <v>15.599999999999961</v>
      </c>
      <c r="N174" s="39">
        <f t="shared" si="21"/>
        <v>0.93797517743273451</v>
      </c>
      <c r="O174" s="39">
        <f t="shared" si="22"/>
        <v>-4.3202644970933717</v>
      </c>
      <c r="P174" s="39">
        <f t="shared" si="23"/>
        <v>-8.1004959320500713</v>
      </c>
      <c r="Q174" s="39">
        <f t="shared" si="24"/>
        <v>-19.973483574171851</v>
      </c>
      <c r="R174" s="40" cm="1">
        <f t="array" ref="R174">(O174/WSchiene_2)*10^6*(1+3*Faktor_Oberbauzustand_2*fPersonenzüge_2)</f>
        <v>-26.280899439699805</v>
      </c>
      <c r="S174" s="40" cm="1">
        <f t="array" ref="S174">(O174/WSchiene_2)*10^6*(1+3*Faktor_Oberbauzustand_2*fGüterzüge_2)</f>
        <v>-25.965528646423408</v>
      </c>
      <c r="T174" s="40" t="e">
        <f t="shared" si="19"/>
        <v>#N/A</v>
      </c>
      <c r="U174" s="39" cm="1">
        <f t="array" ref="U174">ktot_2*N174</f>
        <v>18.89432770134092</v>
      </c>
      <c r="V174" s="139">
        <f t="shared" si="20"/>
        <v>28.788060189811855</v>
      </c>
    </row>
    <row r="175" spans="1:2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38">
        <f t="shared" si="25"/>
        <v>15.69999999999996</v>
      </c>
      <c r="N175" s="39">
        <f t="shared" si="21"/>
        <v>0.877117281956729</v>
      </c>
      <c r="O175" s="39">
        <f t="shared" si="22"/>
        <v>-5.2987488256280795</v>
      </c>
      <c r="P175" s="39">
        <f t="shared" si="23"/>
        <v>-9.9351540480526488</v>
      </c>
      <c r="Q175" s="39">
        <f t="shared" si="24"/>
        <v>-24.497220645529726</v>
      </c>
      <c r="R175" s="40" cm="1">
        <f t="array" ref="R175">(O175/WSchiene_2)*10^6*(1+3*Faktor_Oberbauzustand_2*fPersonenzüge_2)</f>
        <v>-32.233185059907534</v>
      </c>
      <c r="S175" s="40" cm="1">
        <f t="array" ref="S175">(O175/WSchiene_2)*10^6*(1+3*Faktor_Oberbauzustand_2*fGüterzüge_2)</f>
        <v>-31.846386839188646</v>
      </c>
      <c r="T175" s="40" t="e">
        <f t="shared" si="19"/>
        <v>#N/A</v>
      </c>
      <c r="U175" s="39" cm="1">
        <f t="array" ref="U175">ktot_2*N175</f>
        <v>17.668422103833716</v>
      </c>
      <c r="V175" s="139">
        <f t="shared" si="20"/>
        <v>28.788060189811855</v>
      </c>
    </row>
    <row r="176" spans="1:2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38">
        <f t="shared" si="25"/>
        <v>15.79999999999996</v>
      </c>
      <c r="N176" s="39">
        <f t="shared" si="21"/>
        <v>0.83165710212789856</v>
      </c>
      <c r="O176" s="39">
        <f t="shared" si="22"/>
        <v>-5.9823274606017192</v>
      </c>
      <c r="P176" s="39">
        <f t="shared" si="23"/>
        <v>-11.216863988628221</v>
      </c>
      <c r="Q176" s="39">
        <f t="shared" si="24"/>
        <v>-27.657547205740727</v>
      </c>
      <c r="R176" s="40" cm="1">
        <f t="array" ref="R176">(O176/WSchiene_2)*10^6*(1+3*Faktor_Oberbauzustand_2*fPersonenzüge_2)</f>
        <v>-36.391509481237804</v>
      </c>
      <c r="S176" s="40" cm="1">
        <f t="array" ref="S176">(O176/WSchiene_2)*10^6*(1+3*Faktor_Oberbauzustand_2*fGüterzüge_2)</f>
        <v>-35.954811367462945</v>
      </c>
      <c r="T176" s="40" t="e">
        <f t="shared" si="19"/>
        <v>#N/A</v>
      </c>
      <c r="U176" s="39" cm="1">
        <f t="array" ref="U176">ktot_2*N176</f>
        <v>16.752684080361973</v>
      </c>
      <c r="V176" s="139">
        <f t="shared" si="20"/>
        <v>28.788060189811855</v>
      </c>
    </row>
    <row r="177" spans="1:2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38">
        <f t="shared" si="25"/>
        <v>15.899999999999959</v>
      </c>
      <c r="N177" s="39">
        <f t="shared" si="21"/>
        <v>0.80359401502883054</v>
      </c>
      <c r="O177" s="39">
        <f t="shared" si="22"/>
        <v>-6.3862068272115504</v>
      </c>
      <c r="P177" s="39">
        <f t="shared" si="23"/>
        <v>-11.974137801021657</v>
      </c>
      <c r="Q177" s="39">
        <f t="shared" si="24"/>
        <v>-29.524765729133382</v>
      </c>
      <c r="R177" s="40" cm="1">
        <f t="array" ref="R177">(O177/WSchiene_2)*10^6*(1+3*Faktor_Oberbauzustand_2*fPersonenzüge_2)</f>
        <v>-38.848375959386033</v>
      </c>
      <c r="S177" s="40" cm="1">
        <f t="array" ref="S177">(O177/WSchiene_2)*10^6*(1+3*Faktor_Oberbauzustand_2*fGüterzüge_2)</f>
        <v>-38.3821954478734</v>
      </c>
      <c r="T177" s="40" t="e">
        <f t="shared" si="19"/>
        <v>#N/A</v>
      </c>
      <c r="U177" s="39" cm="1">
        <f t="array" ref="U177">ktot_2*N177</f>
        <v>16.187388562188104</v>
      </c>
      <c r="V177" s="139">
        <f t="shared" si="20"/>
        <v>28.788060189811855</v>
      </c>
    </row>
    <row r="178" spans="1:2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38">
        <f t="shared" si="25"/>
        <v>15.999999999999959</v>
      </c>
      <c r="N178" s="39">
        <f t="shared" si="21"/>
        <v>0.79410941270639779</v>
      </c>
      <c r="O178" s="39">
        <f t="shared" si="22"/>
        <v>-6.5197755035367653</v>
      </c>
      <c r="P178" s="39">
        <f t="shared" si="23"/>
        <v>-12.224579069131435</v>
      </c>
      <c r="Q178" s="39">
        <f t="shared" si="24"/>
        <v>-30.142281569749262</v>
      </c>
      <c r="R178" s="40" cm="1">
        <f t="array" ref="R178">(O178/WSchiene_2)*10^6*(1+3*Faktor_Oberbauzustand_2*fPersonenzüge_2)</f>
        <v>-39.660896802301664</v>
      </c>
      <c r="S178" s="40" cm="1">
        <f t="array" ref="S178">(O178/WSchiene_2)*10^6*(1+3*Faktor_Oberbauzustand_2*fGüterzüge_2)</f>
        <v>-39.184966040674041</v>
      </c>
      <c r="T178" s="40" t="e">
        <f t="shared" si="19"/>
        <v>#N/A</v>
      </c>
      <c r="U178" s="39" cm="1">
        <f t="array" ref="U178">ktot_2*N178</f>
        <v>15.996333203039441</v>
      </c>
      <c r="V178" s="139">
        <f t="shared" si="20"/>
        <v>28.788060189811855</v>
      </c>
    </row>
    <row r="179" spans="1:2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38">
        <f t="shared" si="25"/>
        <v>16.099999999999959</v>
      </c>
      <c r="N179" s="39">
        <f t="shared" si="21"/>
        <v>0.80359401502881544</v>
      </c>
      <c r="O179" s="39">
        <f t="shared" si="22"/>
        <v>-6.3862068272117645</v>
      </c>
      <c r="P179" s="39">
        <f t="shared" si="23"/>
        <v>-11.974137801022058</v>
      </c>
      <c r="Q179" s="39">
        <f t="shared" si="24"/>
        <v>-29.524765729134369</v>
      </c>
      <c r="R179" s="40" cm="1">
        <f t="array" ref="R179">(O179/WSchiene_2)*10^6*(1+3*Faktor_Oberbauzustand_2*fPersonenzüge_2)</f>
        <v>-38.848375959387333</v>
      </c>
      <c r="S179" s="40" cm="1">
        <f t="array" ref="S179">(O179/WSchiene_2)*10^6*(1+3*Faktor_Oberbauzustand_2*fGüterzüge_2)</f>
        <v>-38.382195447874679</v>
      </c>
      <c r="T179" s="40" t="e">
        <f t="shared" si="19"/>
        <v>#N/A</v>
      </c>
      <c r="U179" s="39" cm="1">
        <f t="array" ref="U179">ktot_2*N179</f>
        <v>16.187388562187802</v>
      </c>
      <c r="V179" s="139">
        <f t="shared" si="20"/>
        <v>28.788060189811855</v>
      </c>
    </row>
    <row r="180" spans="1:2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38">
        <f t="shared" si="25"/>
        <v>16.19999999999996</v>
      </c>
      <c r="N180" s="39">
        <f t="shared" si="21"/>
        <v>0.83165710212786959</v>
      </c>
      <c r="O180" s="39">
        <f t="shared" si="22"/>
        <v>-5.9823274606021437</v>
      </c>
      <c r="P180" s="39">
        <f t="shared" si="23"/>
        <v>-11.216863988629019</v>
      </c>
      <c r="Q180" s="39">
        <f t="shared" si="24"/>
        <v>-27.657547205742688</v>
      </c>
      <c r="R180" s="40" cm="1">
        <f t="array" ref="R180">(O180/WSchiene_2)*10^6*(1+3*Faktor_Oberbauzustand_2*fPersonenzüge_2)</f>
        <v>-36.391509481240384</v>
      </c>
      <c r="S180" s="40" cm="1">
        <f t="array" ref="S180">(O180/WSchiene_2)*10^6*(1+3*Faktor_Oberbauzustand_2*fGüterzüge_2)</f>
        <v>-35.954811367465496</v>
      </c>
      <c r="T180" s="40" t="e">
        <f t="shared" si="19"/>
        <v>#N/A</v>
      </c>
      <c r="U180" s="39" cm="1">
        <f t="array" ref="U180">ktot_2*N180</f>
        <v>16.752684080361391</v>
      </c>
      <c r="V180" s="139">
        <f t="shared" si="20"/>
        <v>28.788060189811855</v>
      </c>
    </row>
    <row r="181" spans="1:2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38">
        <f t="shared" si="25"/>
        <v>16.299999999999962</v>
      </c>
      <c r="N181" s="39">
        <f t="shared" si="21"/>
        <v>0.87711728195668803</v>
      </c>
      <c r="O181" s="39">
        <f t="shared" si="22"/>
        <v>-5.2987488256287127</v>
      </c>
      <c r="P181" s="39">
        <f t="shared" si="23"/>
        <v>-9.9351540480538336</v>
      </c>
      <c r="Q181" s="39">
        <f t="shared" si="24"/>
        <v>-24.497220645532654</v>
      </c>
      <c r="R181" s="40" cm="1">
        <f t="array" ref="R181">(O181/WSchiene_2)*10^6*(1+3*Faktor_Oberbauzustand_2*fPersonenzüge_2)</f>
        <v>-32.233185059911392</v>
      </c>
      <c r="S181" s="40" cm="1">
        <f t="array" ref="S181">(O181/WSchiene_2)*10^6*(1+3*Faktor_Oberbauzustand_2*fGüterzüge_2)</f>
        <v>-31.846386839192451</v>
      </c>
      <c r="T181" s="40" t="e">
        <f t="shared" si="19"/>
        <v>#N/A</v>
      </c>
      <c r="U181" s="39" cm="1">
        <f t="array" ref="U181">ktot_2*N181</f>
        <v>17.668422103832892</v>
      </c>
      <c r="V181" s="139">
        <f t="shared" si="20"/>
        <v>28.788060189811855</v>
      </c>
    </row>
    <row r="182" spans="1:2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38">
        <f t="shared" si="25"/>
        <v>16.399999999999963</v>
      </c>
      <c r="N182" s="39">
        <f t="shared" si="21"/>
        <v>0.93797517743268399</v>
      </c>
      <c r="O182" s="39">
        <f t="shared" si="22"/>
        <v>-4.3202644970942163</v>
      </c>
      <c r="P182" s="39">
        <f t="shared" si="23"/>
        <v>-8.1004959320516559</v>
      </c>
      <c r="Q182" s="39">
        <f t="shared" si="24"/>
        <v>-19.973483574175759</v>
      </c>
      <c r="R182" s="40" cm="1">
        <f t="array" ref="R182">(O182/WSchiene_2)*10^6*(1+3*Faktor_Oberbauzustand_2*fPersonenzüge_2)</f>
        <v>-26.28089943970495</v>
      </c>
      <c r="S182" s="40" cm="1">
        <f t="array" ref="S182">(O182/WSchiene_2)*10^6*(1+3*Faktor_Oberbauzustand_2*fGüterzüge_2)</f>
        <v>-25.965528646428488</v>
      </c>
      <c r="T182" s="40" t="e">
        <f t="shared" si="19"/>
        <v>#N/A</v>
      </c>
      <c r="U182" s="39" cm="1">
        <f t="array" ref="U182">ktot_2*N182</f>
        <v>18.894327701339904</v>
      </c>
      <c r="V182" s="139">
        <f t="shared" si="20"/>
        <v>28.788060189811855</v>
      </c>
    </row>
    <row r="183" spans="1:2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38">
        <f t="shared" si="25"/>
        <v>16.499999999999964</v>
      </c>
      <c r="N183" s="39">
        <f t="shared" si="21"/>
        <v>1.0113691955608668</v>
      </c>
      <c r="O183" s="39">
        <f t="shared" si="22"/>
        <v>-3.0265226917473371</v>
      </c>
      <c r="P183" s="39">
        <f t="shared" si="23"/>
        <v>-5.6747300470262569</v>
      </c>
      <c r="Q183" s="39">
        <f t="shared" si="24"/>
        <v>-13.992245454217924</v>
      </c>
      <c r="R183" s="40" cm="1">
        <f t="array" ref="R183">(O183/WSchiene_2)*10^6*(1+3*Faktor_Oberbauzustand_2*fPersonenzüge_2)</f>
        <v>-18.410849281865691</v>
      </c>
      <c r="S183" s="40" cm="1">
        <f t="array" ref="S183">(O183/WSchiene_2)*10^6*(1+3*Faktor_Oberbauzustand_2*fGüterzüge_2)</f>
        <v>-18.189919090483301</v>
      </c>
      <c r="T183" s="40" t="e">
        <f t="shared" si="19"/>
        <v>#N/A</v>
      </c>
      <c r="U183" s="39" cm="1">
        <f t="array" ref="U183">ktot_2*N183</f>
        <v>20.372757688823757</v>
      </c>
      <c r="V183" s="139">
        <f t="shared" si="20"/>
        <v>28.788060189811855</v>
      </c>
    </row>
    <row r="184" spans="1:2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38">
        <f t="shared" si="25"/>
        <v>16.599999999999966</v>
      </c>
      <c r="N184" s="39">
        <f t="shared" si="21"/>
        <v>1.0935163454388959</v>
      </c>
      <c r="O184" s="39">
        <f t="shared" si="22"/>
        <v>-1.3929886477033464</v>
      </c>
      <c r="P184" s="39">
        <f t="shared" si="23"/>
        <v>-2.6118537144437757</v>
      </c>
      <c r="Q184" s="39">
        <f t="shared" si="24"/>
        <v>-6.440076965803728</v>
      </c>
      <c r="R184" s="40" cm="1">
        <f t="array" ref="R184">(O184/WSchiene_2)*10^6*(1+3*Faktor_Oberbauzustand_2*fPersonenzüge_2)</f>
        <v>-8.4737854813206948</v>
      </c>
      <c r="S184" s="40" cm="1">
        <f t="array" ref="S184">(O184/WSchiene_2)*10^6*(1+3*Faktor_Oberbauzustand_2*fGüterzüge_2)</f>
        <v>-8.3721000555448466</v>
      </c>
      <c r="T184" s="40" t="e">
        <f t="shared" si="19"/>
        <v>#N/A</v>
      </c>
      <c r="U184" s="39" cm="1">
        <f t="array" ref="U184">ktot_2*N184</f>
        <v>22.027508482735843</v>
      </c>
      <c r="V184" s="139">
        <f t="shared" si="20"/>
        <v>28.788060189811855</v>
      </c>
    </row>
    <row r="185" spans="1:2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38">
        <f t="shared" si="25"/>
        <v>16.699999999999967</v>
      </c>
      <c r="N185" s="39">
        <f t="shared" si="21"/>
        <v>1.1796409195827511</v>
      </c>
      <c r="O185" s="39">
        <f t="shared" si="22"/>
        <v>0.60778331532673213</v>
      </c>
      <c r="P185" s="39">
        <f t="shared" si="23"/>
        <v>1.1395937162376222</v>
      </c>
      <c r="Q185" s="39">
        <f t="shared" si="24"/>
        <v>2.8099089936510961</v>
      </c>
      <c r="R185" s="40" cm="1">
        <f t="array" ref="R185">(O185/WSchiene_2)*10^6*(1+3*Faktor_Oberbauzustand_2*fPersonenzüge_2)</f>
        <v>3.6972486758567058</v>
      </c>
      <c r="S185" s="40" cm="1">
        <f t="array" ref="S185">(O185/WSchiene_2)*10^6*(1+3*Faktor_Oberbauzustand_2*fGüterzüge_2)</f>
        <v>3.6528816917464253</v>
      </c>
      <c r="T185" s="40" t="e">
        <f t="shared" si="19"/>
        <v>#N/A</v>
      </c>
      <c r="U185" s="39" cm="1">
        <f t="array" ref="U185">ktot_2*N185</f>
        <v>23.762379475235143</v>
      </c>
      <c r="V185" s="139">
        <f t="shared" si="20"/>
        <v>28.788060189811855</v>
      </c>
    </row>
    <row r="186" spans="1:2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38">
        <f t="shared" si="25"/>
        <v>16.799999999999969</v>
      </c>
      <c r="N186" s="39">
        <f t="shared" si="21"/>
        <v>1.2638947580964353</v>
      </c>
      <c r="O186" s="39">
        <f t="shared" si="22"/>
        <v>3.004544215216888</v>
      </c>
      <c r="P186" s="39">
        <f t="shared" si="23"/>
        <v>5.6335204035316657</v>
      </c>
      <c r="Q186" s="39">
        <f t="shared" si="24"/>
        <v>13.890634374557965</v>
      </c>
      <c r="R186" s="40" cm="1">
        <f t="array" ref="R186">(O186/WSchiene_2)*10^6*(1+3*Faktor_Oberbauzustand_2*fPersonenzüge_2)</f>
        <v>18.277150492839429</v>
      </c>
      <c r="S186" s="40" cm="1">
        <f t="array" ref="S186">(O186/WSchiene_2)*10^6*(1+3*Faktor_Oberbauzustand_2*fGüterzüge_2)</f>
        <v>18.057824686925354</v>
      </c>
      <c r="T186" s="40" t="e">
        <f t="shared" si="19"/>
        <v>#N/A</v>
      </c>
      <c r="U186" s="39" cm="1">
        <f t="array" ref="U186">ktot_2*N186</f>
        <v>25.459566856387955</v>
      </c>
      <c r="V186" s="139">
        <f t="shared" si="20"/>
        <v>28.788060189811855</v>
      </c>
    </row>
    <row r="187" spans="1:2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38">
        <f t="shared" si="25"/>
        <v>16.89999999999997</v>
      </c>
      <c r="N187" s="39">
        <f t="shared" si="21"/>
        <v>1.3392737895885944</v>
      </c>
      <c r="O187" s="39">
        <f t="shared" si="22"/>
        <v>5.8253846676010124</v>
      </c>
      <c r="P187" s="39">
        <f t="shared" si="23"/>
        <v>10.9225962517519</v>
      </c>
      <c r="Q187" s="39">
        <f t="shared" si="24"/>
        <v>26.931967950074029</v>
      </c>
      <c r="R187" s="40" cm="1">
        <f t="array" ref="R187">(O187/WSchiene_2)*10^6*(1+3*Faktor_Oberbauzustand_2*fPersonenzüge_2)</f>
        <v>35.436799934307935</v>
      </c>
      <c r="S187" s="40" cm="1">
        <f t="array" ref="S187">(O187/WSchiene_2)*10^6*(1+3*Faktor_Oberbauzustand_2*fGüterzüge_2)</f>
        <v>35.01155833509624</v>
      </c>
      <c r="T187" s="40" t="e">
        <f t="shared" si="19"/>
        <v>#N/A</v>
      </c>
      <c r="U187" s="39" cm="1">
        <f t="array" ref="U187">ktot_2*N187</f>
        <v>26.977982436127206</v>
      </c>
      <c r="V187" s="139">
        <f t="shared" si="20"/>
        <v>28.788060189811855</v>
      </c>
    </row>
    <row r="188" spans="1:2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38">
        <f t="shared" si="25"/>
        <v>16.999999999999972</v>
      </c>
      <c r="N188" s="39">
        <f t="shared" si="21"/>
        <v>1.3975365945041633</v>
      </c>
      <c r="O188" s="39">
        <f t="shared" si="22"/>
        <v>9.0953811280427725</v>
      </c>
      <c r="P188" s="39">
        <f t="shared" si="23"/>
        <v>17.053839615080197</v>
      </c>
      <c r="Q188" s="39">
        <f t="shared" si="24"/>
        <v>42.049843402879212</v>
      </c>
      <c r="R188" s="40" cm="1">
        <f t="array" ref="R188">(O188/WSchiene_2)*10^6*(1+3*Faktor_Oberbauzustand_2*fPersonenzüge_2)</f>
        <v>55.328741319577915</v>
      </c>
      <c r="S188" s="40" cm="1">
        <f t="array" ref="S188">(O188/WSchiene_2)*10^6*(1+3*Faktor_Oberbauzustand_2*fGüterzüge_2)</f>
        <v>54.664796423742978</v>
      </c>
      <c r="T188" s="40" t="e">
        <f t="shared" si="19"/>
        <v>#N/A</v>
      </c>
      <c r="U188" s="39" cm="1">
        <f t="array" ref="U188">ktot_2*N188</f>
        <v>28.151613205213312</v>
      </c>
      <c r="V188" s="139">
        <f t="shared" si="20"/>
        <v>28.788060189811855</v>
      </c>
    </row>
    <row r="189" spans="1:2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38">
        <f t="shared" si="25"/>
        <v>17.099999999999973</v>
      </c>
      <c r="N189" s="39">
        <f t="shared" si="21"/>
        <v>1.4291318691676169</v>
      </c>
      <c r="O189" s="39">
        <f t="shared" si="22"/>
        <v>12.83382696787551</v>
      </c>
      <c r="P189" s="39">
        <f t="shared" si="23"/>
        <v>24.063425564766582</v>
      </c>
      <c r="Q189" s="39">
        <f t="shared" si="24"/>
        <v>59.333458011444797</v>
      </c>
      <c r="R189" s="40" cm="1">
        <f t="array" ref="R189">(O189/WSchiene_2)*10^6*(1+3*Faktor_Oberbauzustand_2*fPersonenzüge_2)</f>
        <v>78.070339488743159</v>
      </c>
      <c r="S189" s="40" cm="1">
        <f t="array" ref="S189">(O189/WSchiene_2)*10^6*(1+3*Faktor_Oberbauzustand_2*fGüterzüge_2)</f>
        <v>77.13349541487824</v>
      </c>
      <c r="T189" s="40" t="e">
        <f t="shared" si="19"/>
        <v>#N/A</v>
      </c>
      <c r="U189" s="39" cm="1">
        <f t="array" ref="U189">ktot_2*N189</f>
        <v>28.788060189811659</v>
      </c>
      <c r="V189" s="139">
        <f t="shared" si="20"/>
        <v>28.788060189811855</v>
      </c>
    </row>
    <row r="190" spans="1:2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38">
        <f t="shared" si="25"/>
        <v>17.199999999999974</v>
      </c>
      <c r="N190" s="39">
        <f t="shared" si="21"/>
        <v>1.4236294540879948</v>
      </c>
      <c r="O190" s="39">
        <f t="shared" si="22"/>
        <v>13.051026299480473</v>
      </c>
      <c r="P190" s="39">
        <f t="shared" si="23"/>
        <v>24.470674311525887</v>
      </c>
      <c r="Q190" s="39">
        <f t="shared" si="24"/>
        <v>60.337615808971208</v>
      </c>
      <c r="R190" s="40" cm="1">
        <f t="array" ref="R190">(O190/WSchiene_2)*10^6*(1+3*Faktor_Oberbauzustand_2*fPersonenzüge_2)</f>
        <v>79.391599748646328</v>
      </c>
      <c r="S190" s="40" cm="1">
        <f t="array" ref="S190">(O190/WSchiene_2)*10^6*(1+3*Faktor_Oberbauzustand_2*fGüterzüge_2)</f>
        <v>78.43890055166257</v>
      </c>
      <c r="T190" s="40" t="e">
        <f t="shared" si="19"/>
        <v>#N/A</v>
      </c>
      <c r="U190" s="39" cm="1">
        <f t="array" ref="U190">ktot_2*N190</f>
        <v>28.67722097341818</v>
      </c>
      <c r="V190" s="139">
        <f t="shared" si="20"/>
        <v>28.788060189811855</v>
      </c>
    </row>
    <row r="191" spans="1:2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38">
        <f t="shared" si="25"/>
        <v>17.299999999999976</v>
      </c>
      <c r="N191" s="39">
        <f t="shared" si="21"/>
        <v>1.3803956991811064</v>
      </c>
      <c r="O191" s="39">
        <f t="shared" si="22"/>
        <v>9.745114067106142</v>
      </c>
      <c r="P191" s="39">
        <f t="shared" si="23"/>
        <v>18.272088875824018</v>
      </c>
      <c r="Q191" s="39">
        <f t="shared" si="24"/>
        <v>45.053694253842544</v>
      </c>
      <c r="R191" s="40" cm="1">
        <f t="array" ref="R191">(O191/WSchiene_2)*10^6*(1+3*Faktor_Oberbauzustand_2*fPersonenzüge_2)</f>
        <v>59.281176649792826</v>
      </c>
      <c r="S191" s="40" cm="1">
        <f t="array" ref="S191">(O191/WSchiene_2)*10^6*(1+3*Faktor_Oberbauzustand_2*fGüterzüge_2)</f>
        <v>58.569802529995307</v>
      </c>
      <c r="T191" s="40" t="e">
        <f t="shared" si="19"/>
        <v>#N/A</v>
      </c>
      <c r="U191" s="39" cm="1">
        <f t="array" ref="U191">ktot_2*N191</f>
        <v>27.806331473755716</v>
      </c>
      <c r="V191" s="139">
        <f t="shared" si="20"/>
        <v>28.788060189811855</v>
      </c>
    </row>
    <row r="192" spans="1:2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38">
        <f t="shared" si="25"/>
        <v>17.399999999999977</v>
      </c>
      <c r="N192" s="39">
        <f t="shared" si="21"/>
        <v>1.3085989604356838</v>
      </c>
      <c r="O192" s="39">
        <f t="shared" si="22"/>
        <v>6.9018434650896161</v>
      </c>
      <c r="P192" s="39">
        <f t="shared" si="23"/>
        <v>12.940956497043031</v>
      </c>
      <c r="Q192" s="39">
        <f t="shared" si="24"/>
        <v>31.908661419739325</v>
      </c>
      <c r="R192" s="40" cm="1">
        <f t="array" ref="R192">(O192/WSchiene_2)*10^6*(1+3*Faktor_Oberbauzustand_2*fPersonenzüge_2)</f>
        <v>41.98508081544648</v>
      </c>
      <c r="S192" s="40" cm="1">
        <f t="array" ref="S192">(O192/WSchiene_2)*10^6*(1+3*Faktor_Oberbauzustand_2*fGüterzüge_2)</f>
        <v>41.481259845661121</v>
      </c>
      <c r="T192" s="40" t="e">
        <f t="shared" si="19"/>
        <v>#N/A</v>
      </c>
      <c r="U192" s="39" cm="1">
        <f t="array" ref="U192">ktot_2*N192</f>
        <v>26.360076666185545</v>
      </c>
      <c r="V192" s="139">
        <f t="shared" si="20"/>
        <v>28.788060189811855</v>
      </c>
    </row>
    <row r="193" spans="1:2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38">
        <f t="shared" si="25"/>
        <v>17.499999999999979</v>
      </c>
      <c r="N193" s="39">
        <f t="shared" si="21"/>
        <v>1.2165458481934008</v>
      </c>
      <c r="O193" s="39">
        <f t="shared" si="22"/>
        <v>4.4973425461887029</v>
      </c>
      <c r="P193" s="39">
        <f t="shared" si="23"/>
        <v>8.4325172741038195</v>
      </c>
      <c r="Q193" s="39">
        <f t="shared" si="24"/>
        <v>20.792152317099873</v>
      </c>
      <c r="R193" s="40" cm="1">
        <f t="array" ref="R193">(O193/WSchiene_2)*10^6*(1+3*Faktor_Oberbauzustand_2*fPersonenzüge_2)</f>
        <v>27.358095154078782</v>
      </c>
      <c r="S193" s="40" cm="1">
        <f t="array" ref="S193">(O193/WSchiene_2)*10^6*(1+3*Faktor_Oberbauzustand_2*fGüterzüge_2)</f>
        <v>27.029798012229836</v>
      </c>
      <c r="T193" s="40" t="e">
        <f t="shared" si="19"/>
        <v>#N/A</v>
      </c>
      <c r="U193" s="39" cm="1">
        <f t="array" ref="U193">ktot_2*N193</f>
        <v>24.505782746175342</v>
      </c>
      <c r="V193" s="139">
        <f t="shared" si="20"/>
        <v>28.788060189811855</v>
      </c>
    </row>
    <row r="194" spans="1:2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38">
        <f t="shared" si="25"/>
        <v>17.59999999999998</v>
      </c>
      <c r="N194" s="39">
        <f t="shared" si="21"/>
        <v>1.1112636673670622</v>
      </c>
      <c r="O194" s="39">
        <f t="shared" si="22"/>
        <v>2.5009028917769638</v>
      </c>
      <c r="P194" s="39">
        <f t="shared" si="23"/>
        <v>4.6891929220818076</v>
      </c>
      <c r="Q194" s="39">
        <f t="shared" si="24"/>
        <v>11.562195523703023</v>
      </c>
      <c r="R194" s="40" cm="1">
        <f t="array" ref="R194">(O194/WSchiene_2)*10^6*(1+3*Faktor_Oberbauzustand_2*fPersonenzüge_2)</f>
        <v>15.213415162767136</v>
      </c>
      <c r="S194" s="40" cm="1">
        <f t="array" ref="S194">(O194/WSchiene_2)*10^6*(1+3*Faktor_Oberbauzustand_2*fGüterzüge_2)</f>
        <v>15.030854180813931</v>
      </c>
      <c r="T194" s="40" t="e">
        <f t="shared" si="19"/>
        <v>#N/A</v>
      </c>
      <c r="U194" s="39" cm="1">
        <f t="array" ref="U194">ktot_2*N194</f>
        <v>22.385005913797674</v>
      </c>
      <c r="V194" s="139">
        <f t="shared" si="20"/>
        <v>28.788060189811855</v>
      </c>
    </row>
    <row r="195" spans="1:2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38">
        <f t="shared" si="25"/>
        <v>17.699999999999982</v>
      </c>
      <c r="N195" s="39">
        <f t="shared" si="21"/>
        <v>0.9985894947191607</v>
      </c>
      <c r="O195" s="39">
        <f t="shared" si="22"/>
        <v>0.87734138363741898</v>
      </c>
      <c r="P195" s="39">
        <f t="shared" si="23"/>
        <v>1.6450150943201602</v>
      </c>
      <c r="Q195" s="39">
        <f t="shared" si="24"/>
        <v>4.056132148115668</v>
      </c>
      <c r="R195" s="40" cm="1">
        <f t="array" ref="R195">(O195/WSchiene_2)*10^6*(1+3*Faktor_Oberbauzustand_2*fPersonenzüge_2)</f>
        <v>5.3370159843627212</v>
      </c>
      <c r="S195" s="40" cm="1">
        <f t="array" ref="S195">(O195/WSchiene_2)*10^6*(1+3*Faktor_Oberbauzustand_2*fGüterzüge_2)</f>
        <v>5.2729717925503685</v>
      </c>
      <c r="T195" s="40" t="e">
        <f t="shared" si="19"/>
        <v>#N/A</v>
      </c>
      <c r="U195" s="39" cm="1">
        <f t="array" ref="U195">ktot_2*N195</f>
        <v>20.115326723231263</v>
      </c>
      <c r="V195" s="139">
        <f t="shared" si="20"/>
        <v>28.788060189811855</v>
      </c>
    </row>
    <row r="196" spans="1:2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38">
        <f t="shared" si="25"/>
        <v>17.799999999999983</v>
      </c>
      <c r="N196" s="39">
        <f t="shared" si="21"/>
        <v>0.8832724169547691</v>
      </c>
      <c r="O196" s="39">
        <f t="shared" si="22"/>
        <v>-0.41103725176747991</v>
      </c>
      <c r="P196" s="39">
        <f t="shared" si="23"/>
        <v>-0.7706948470640248</v>
      </c>
      <c r="Q196" s="39">
        <f t="shared" si="24"/>
        <v>-1.9003109189435039</v>
      </c>
      <c r="R196" s="40" cm="1">
        <f t="array" ref="R196">(O196/WSchiene_2)*10^6*(1+3*Faktor_Oberbauzustand_2*fPersonenzüge_2)</f>
        <v>-2.5004091038730318</v>
      </c>
      <c r="S196" s="40" cm="1">
        <f t="array" ref="S196">(O196/WSchiene_2)*10^6*(1+3*Faktor_Oberbauzustand_2*fGüterzüge_2)</f>
        <v>-2.4704041946265551</v>
      </c>
      <c r="T196" s="40" t="e">
        <f t="shared" si="19"/>
        <v>#N/A</v>
      </c>
      <c r="U196" s="39" cm="1">
        <f t="array" ref="U196">ktot_2*N196</f>
        <v>17.792409540278754</v>
      </c>
      <c r="V196" s="139">
        <f t="shared" si="20"/>
        <v>28.788060189811855</v>
      </c>
    </row>
    <row r="197" spans="1:2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38">
        <f t="shared" si="25"/>
        <v>17.899999999999984</v>
      </c>
      <c r="N197" s="39">
        <f t="shared" si="21"/>
        <v>0.769083191756046</v>
      </c>
      <c r="O197" s="39">
        <f t="shared" si="22"/>
        <v>-1.4028429626487531</v>
      </c>
      <c r="P197" s="39">
        <f t="shared" si="23"/>
        <v>-2.6303305549664113</v>
      </c>
      <c r="Q197" s="39">
        <f t="shared" si="24"/>
        <v>-6.4856355184870687</v>
      </c>
      <c r="R197" s="40" cm="1">
        <f t="array" ref="R197">(O197/WSchiene_2)*10^6*(1+3*Faktor_Oberbauzustand_2*fPersonenzüge_2)</f>
        <v>-8.533730945377723</v>
      </c>
      <c r="S197" s="40" cm="1">
        <f t="array" ref="S197">(O197/WSchiene_2)*10^6*(1+3*Faktor_Oberbauzustand_2*fGüterzüge_2)</f>
        <v>-8.43132617403319</v>
      </c>
      <c r="T197" s="40" t="e">
        <f t="shared" si="19"/>
        <v>#N/A</v>
      </c>
      <c r="U197" s="39" cm="1">
        <f t="array" ref="U197">ktot_2*N197</f>
        <v>15.492211525687248</v>
      </c>
      <c r="V197" s="139">
        <f t="shared" si="20"/>
        <v>28.788060189811855</v>
      </c>
    </row>
    <row r="198" spans="1:22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38">
        <f t="shared" si="25"/>
        <v>17.999999999999986</v>
      </c>
      <c r="N198" s="39">
        <f t="shared" si="21"/>
        <v>0.6589266590591617</v>
      </c>
      <c r="O198" s="39">
        <f t="shared" si="22"/>
        <v>-2.1363312690578957</v>
      </c>
      <c r="P198" s="39">
        <f t="shared" si="23"/>
        <v>-4.0056211294835551</v>
      </c>
      <c r="Q198" s="39">
        <f t="shared" si="24"/>
        <v>-9.8767048962454727</v>
      </c>
      <c r="R198" s="40" cm="1">
        <f t="array" ref="R198">(O198/WSchiene_2)*10^6*(1+3*Faktor_Oberbauzustand_2*fPersonenzüge_2)</f>
        <v>-12.995664337165097</v>
      </c>
      <c r="S198" s="40" cm="1">
        <f t="array" ref="S198">(O198/WSchiene_2)*10^6*(1+3*Faktor_Oberbauzustand_2*fGüterzüge_2)</f>
        <v>-12.839716365119115</v>
      </c>
      <c r="T198" s="40" t="e">
        <f t="shared" si="19"/>
        <v>#N/A</v>
      </c>
      <c r="U198" s="39" cm="1">
        <f t="array" ref="U198">ktot_2*N198</f>
        <v>13.273247018635923</v>
      </c>
      <c r="V198" s="139">
        <f t="shared" si="20"/>
        <v>28.788060189811855</v>
      </c>
    </row>
    <row r="199" spans="1:22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38">
        <f t="shared" si="25"/>
        <v>18.099999999999987</v>
      </c>
      <c r="N199" s="39">
        <f t="shared" si="21"/>
        <v>0.55495318832776375</v>
      </c>
      <c r="O199" s="39">
        <f t="shared" si="22"/>
        <v>-2.6484249019043413</v>
      </c>
      <c r="P199" s="39">
        <f t="shared" si="23"/>
        <v>-4.965796691070639</v>
      </c>
      <c r="Q199" s="39">
        <f t="shared" si="24"/>
        <v>-12.244220535849937</v>
      </c>
      <c r="R199" s="40" cm="1">
        <f t="array" ref="R199">(O199/WSchiene_2)*10^6*(1+3*Faktor_Oberbauzustand_2*fPersonenzüge_2)</f>
        <v>-16.110816494539392</v>
      </c>
      <c r="S199" s="40" cm="1">
        <f t="array" ref="S199">(O199/WSchiene_2)*10^6*(1+3*Faktor_Oberbauzustand_2*fGüterzüge_2)</f>
        <v>-15.91748669660492</v>
      </c>
      <c r="T199" s="40" t="e">
        <f t="shared" si="19"/>
        <v>#N/A</v>
      </c>
      <c r="U199" s="39" cm="1">
        <f t="array" ref="U199">ktot_2*N199</f>
        <v>11.178832501588968</v>
      </c>
      <c r="V199" s="139">
        <f t="shared" si="20"/>
        <v>28.788060189811855</v>
      </c>
    </row>
    <row r="200" spans="1:22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38">
        <f t="shared" si="25"/>
        <v>18.199999999999989</v>
      </c>
      <c r="N200" s="39">
        <f t="shared" si="21"/>
        <v>0.45866629645803586</v>
      </c>
      <c r="O200" s="39">
        <f t="shared" si="22"/>
        <v>-2.973988847755348</v>
      </c>
      <c r="P200" s="39">
        <f t="shared" si="23"/>
        <v>-5.5762290895412789</v>
      </c>
      <c r="Q200" s="39">
        <f t="shared" si="24"/>
        <v>-13.749370539784318</v>
      </c>
      <c r="R200" s="40" cm="1">
        <f t="array" ref="R200">(O200/WSchiene_2)*10^6*(1+3*Faktor_Oberbauzustand_2*fPersonenzüge_2)</f>
        <v>-18.091277026031999</v>
      </c>
      <c r="S200" s="40" cm="1">
        <f t="array" ref="S200">(O200/WSchiene_2)*10^6*(1+3*Faktor_Oberbauzustand_2*fGüterzüge_2)</f>
        <v>-17.874181701719614</v>
      </c>
      <c r="T200" s="40" t="e">
        <f t="shared" si="19"/>
        <v>#N/A</v>
      </c>
      <c r="U200" s="39" cm="1">
        <f t="array" ref="U200">ktot_2*N200</f>
        <v>9.2392544273486354</v>
      </c>
      <c r="V200" s="139">
        <f t="shared" si="20"/>
        <v>28.788060189811855</v>
      </c>
    </row>
    <row r="201" spans="1:22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38">
        <f t="shared" si="25"/>
        <v>18.29999999999999</v>
      </c>
      <c r="N201" s="39">
        <f t="shared" si="21"/>
        <v>0.37102431106508493</v>
      </c>
      <c r="O201" s="39">
        <f t="shared" si="22"/>
        <v>-3.1453227282790177</v>
      </c>
      <c r="P201" s="39">
        <f t="shared" si="23"/>
        <v>-5.897480115523158</v>
      </c>
      <c r="Q201" s="39">
        <f t="shared" si="24"/>
        <v>-14.541482793707896</v>
      </c>
      <c r="R201" s="40" cm="1">
        <f t="array" ref="R201">(O201/WSchiene_2)*10^6*(1+3*Faktor_Oberbauzustand_2*fPersonenzüge_2)</f>
        <v>-19.133529991720916</v>
      </c>
      <c r="S201" s="40" cm="1">
        <f t="array" ref="S201">(O201/WSchiene_2)*10^6*(1+3*Faktor_Oberbauzustand_2*fGüterzüge_2)</f>
        <v>-18.903927631820267</v>
      </c>
      <c r="T201" s="40" t="e">
        <f t="shared" si="19"/>
        <v>#N/A</v>
      </c>
      <c r="U201" s="39" cm="1">
        <f t="array" ref="U201">ktot_2*N201</f>
        <v>7.4738170978204748</v>
      </c>
      <c r="V201" s="139">
        <f t="shared" si="20"/>
        <v>28.788060189811855</v>
      </c>
    </row>
    <row r="202" spans="1:2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38">
        <f t="shared" si="25"/>
        <v>18.399999999999991</v>
      </c>
      <c r="N202" s="39">
        <f t="shared" si="21"/>
        <v>0.29253458888131684</v>
      </c>
      <c r="O202" s="39">
        <f t="shared" si="22"/>
        <v>-3.1918364245722657</v>
      </c>
      <c r="P202" s="39">
        <f t="shared" si="23"/>
        <v>-5.9846932960729982</v>
      </c>
      <c r="Q202" s="39">
        <f t="shared" si="24"/>
        <v>-14.756525310089069</v>
      </c>
      <c r="R202" s="40" cm="1">
        <f t="array" ref="R202">(O202/WSchiene_2)*10^6*(1+3*Faktor_Oberbauzustand_2*fPersonenzüge_2)</f>
        <v>-19.416480671169829</v>
      </c>
      <c r="S202" s="40" cm="1">
        <f t="array" ref="S202">(O202/WSchiene_2)*10^6*(1+3*Faktor_Oberbauzustand_2*fGüterzüge_2)</f>
        <v>-19.183482903115792</v>
      </c>
      <c r="T202" s="40" t="e">
        <f t="shared" ref="T202:T265" si="26">IF(N202=MAX($N$8:$N$338),N202,#N/A)</f>
        <v>#N/A</v>
      </c>
      <c r="U202" s="39" cm="1">
        <f t="array" ref="U202">ktot_2*N202</f>
        <v>5.8927405748933275</v>
      </c>
      <c r="V202" s="139">
        <f t="shared" ref="V202:V265" si="27">MAX($U$8:$U$338)</f>
        <v>28.788060189811855</v>
      </c>
    </row>
    <row r="203" spans="1:22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38">
        <f t="shared" si="25"/>
        <v>18.499999999999993</v>
      </c>
      <c r="N203" s="39">
        <f t="shared" si="21"/>
        <v>0.22333933457722407</v>
      </c>
      <c r="O203" s="39">
        <f t="shared" si="22"/>
        <v>-3.1398773411063794</v>
      </c>
      <c r="P203" s="39">
        <f t="shared" si="23"/>
        <v>-5.8872700145744616</v>
      </c>
      <c r="Q203" s="39">
        <f t="shared" si="24"/>
        <v>-14.516307633409058</v>
      </c>
      <c r="R203" s="40" cm="1">
        <f t="array" ref="R203">(O203/WSchiene_2)*10^6*(1+3*Faktor_Oberbauzustand_2*fPersonenzüge_2)</f>
        <v>-19.100404780801394</v>
      </c>
      <c r="S203" s="40" cm="1">
        <f t="array" ref="S203">(O203/WSchiene_2)*10^6*(1+3*Faktor_Oberbauzustand_2*fGüterzüge_2)</f>
        <v>-18.871199923431774</v>
      </c>
      <c r="T203" s="40" t="e">
        <f t="shared" si="26"/>
        <v>#N/A</v>
      </c>
      <c r="U203" s="39" cm="1">
        <f t="array" ref="U203">ktot_2*N203</f>
        <v>4.4988893924158386</v>
      </c>
      <c r="V203" s="139">
        <f t="shared" si="27"/>
        <v>28.788060189811855</v>
      </c>
    </row>
    <row r="204" spans="1:22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38">
        <f t="shared" si="25"/>
        <v>18.599999999999994</v>
      </c>
      <c r="N204" s="39">
        <f t="shared" si="21"/>
        <v>0.16329250870320738</v>
      </c>
      <c r="O204" s="39">
        <f t="shared" si="22"/>
        <v>-3.0126805116111512</v>
      </c>
      <c r="P204" s="39">
        <f t="shared" si="23"/>
        <v>-5.6487759592709086</v>
      </c>
      <c r="Q204" s="39">
        <f t="shared" si="24"/>
        <v>-13.928250169260986</v>
      </c>
      <c r="R204" s="40" cm="1">
        <f t="array" ref="R204">(O204/WSchiene_2)*10^6*(1+3*Faktor_Oberbauzustand_2*fPersonenzüge_2)</f>
        <v>-18.326644959553931</v>
      </c>
      <c r="S204" s="40" cm="1">
        <f t="array" ref="S204">(O204/WSchiene_2)*10^6*(1+3*Faktor_Oberbauzustand_2*fGüterzüge_2)</f>
        <v>-18.106725220039284</v>
      </c>
      <c r="T204" s="40" t="e">
        <f t="shared" si="26"/>
        <v>#N/A</v>
      </c>
      <c r="U204" s="39" cm="1">
        <f t="array" ref="U204">ktot_2*N204</f>
        <v>3.2893217697477102</v>
      </c>
      <c r="V204" s="139">
        <f t="shared" si="27"/>
        <v>28.788060189811855</v>
      </c>
    </row>
    <row r="205" spans="1:22">
      <c r="M205" s="38">
        <f t="shared" si="25"/>
        <v>18.699999999999996</v>
      </c>
      <c r="N205" s="39">
        <f t="shared" si="21"/>
        <v>0.1120276728080442</v>
      </c>
      <c r="O205" s="39">
        <f t="shared" si="22"/>
        <v>-2.8304157308172737</v>
      </c>
      <c r="P205" s="39">
        <f t="shared" si="23"/>
        <v>-5.3070294952823893</v>
      </c>
      <c r="Q205" s="39">
        <f t="shared" si="24"/>
        <v>-13.085602084222256</v>
      </c>
      <c r="R205" s="40" cm="1">
        <f t="array" ref="R205">(O205/WSchiene_2)*10^6*(1+3*Faktor_Oberbauzustand_2*fPersonenzüge_2)</f>
        <v>-17.217897479239813</v>
      </c>
      <c r="S205" s="40" cm="1">
        <f t="array" ref="S205">(O205/WSchiene_2)*10^6*(1+3*Faktor_Oberbauzustand_2*fGüterzüge_2)</f>
        <v>-17.011282709488931</v>
      </c>
      <c r="T205" s="40" t="e">
        <f t="shared" si="26"/>
        <v>#N/A</v>
      </c>
      <c r="U205" s="39" cm="1">
        <f t="array" ref="U205">ktot_2*N205</f>
        <v>2.2566562661575142</v>
      </c>
      <c r="V205" s="139">
        <f t="shared" si="27"/>
        <v>28.788060189811855</v>
      </c>
    </row>
    <row r="206" spans="1:22">
      <c r="M206" s="38">
        <f t="shared" si="25"/>
        <v>18.799999999999997</v>
      </c>
      <c r="N206" s="39">
        <f t="shared" si="21"/>
        <v>6.9016903790614426E-2</v>
      </c>
      <c r="O206" s="39">
        <f t="shared" si="22"/>
        <v>-2.6103089306960943</v>
      </c>
      <c r="P206" s="39">
        <f t="shared" si="23"/>
        <v>-4.8943292450551761</v>
      </c>
      <c r="Q206" s="39">
        <f t="shared" si="24"/>
        <v>-12.068002453518698</v>
      </c>
      <c r="R206" s="40" cm="1">
        <f t="array" ref="R206">(O206/WSchiene_2)*10^6*(1+3*Faktor_Oberbauzustand_2*fPersonenzüge_2)</f>
        <v>-15.87895059673513</v>
      </c>
      <c r="S206" s="40" cm="1">
        <f t="array" ref="S206">(O206/WSchiene_2)*10^6*(1+3*Faktor_Oberbauzustand_2*fGüterzüge_2)</f>
        <v>-15.688403189574307</v>
      </c>
      <c r="T206" s="40" t="e">
        <f t="shared" si="26"/>
        <v>#N/A</v>
      </c>
      <c r="U206" s="39" cm="1">
        <f t="array" ref="U206">ktot_2*N206</f>
        <v>1.3902585361810429</v>
      </c>
      <c r="V206" s="139">
        <f t="shared" si="27"/>
        <v>28.788060189811855</v>
      </c>
    </row>
    <row r="207" spans="1:22">
      <c r="M207" s="38">
        <f t="shared" si="25"/>
        <v>18.899999999999999</v>
      </c>
      <c r="N207" s="39">
        <f t="shared" si="21"/>
        <v>3.3621127022996876E-2</v>
      </c>
      <c r="O207" s="39">
        <f t="shared" si="22"/>
        <v>-2.3668180120807829</v>
      </c>
      <c r="P207" s="39">
        <f t="shared" si="23"/>
        <v>-4.4377837726514686</v>
      </c>
      <c r="Q207" s="39">
        <f t="shared" si="24"/>
        <v>-10.942293167271304</v>
      </c>
      <c r="R207" s="40" cm="1">
        <f t="array" ref="R207">(O207/WSchiene_2)*10^6*(1+3*Faktor_Oberbauzustand_2*fPersonenzüge_2)</f>
        <v>-14.397754167462242</v>
      </c>
      <c r="S207" s="40" cm="1">
        <f t="array" ref="S207">(O207/WSchiene_2)*10^6*(1+3*Faktor_Oberbauzustand_2*fGüterzüge_2)</f>
        <v>-14.224981117452696</v>
      </c>
      <c r="T207" s="40" t="e">
        <f t="shared" si="26"/>
        <v>#N/A</v>
      </c>
      <c r="U207" s="39" cm="1">
        <f t="array" ref="U207">ktot_2*N207</f>
        <v>0.67725522694492368</v>
      </c>
      <c r="V207" s="139">
        <f t="shared" si="27"/>
        <v>28.788060189811855</v>
      </c>
    </row>
    <row r="208" spans="1:22">
      <c r="M208" s="38">
        <f t="shared" si="25"/>
        <v>19</v>
      </c>
      <c r="N208" s="39">
        <f t="shared" ref="N208:N271" si="28">(1/(ESchiene_1*ISchiene_1))*((Achslast_2_2*10^3/2)/(8*(1/Lelastisch_1)^3)*EXP(-(1/Lelastisch_1)*ABS(M208-$D$32)*10^3)*(COS(ABS(M208-$D$32)*10^3/Lelastisch_1)+SIN(ABS(M208-$D$32)*10^3/Lelastisch_1))+(Achslast_1_2*10^3/2)/(8*(1/Lelastisch_1)^3)*EXP(-(1/Lelastisch_1)*ABS(M208-$D$31)*10^3)*(COS(ABS(M208-$D$31)*10^3/Lelastisch_1)+SIN(ABS(M208-$D$31)*10^3/Lelastisch_1)))</f>
        <v>5.1323774629419248E-3</v>
      </c>
      <c r="O208" s="39">
        <f t="shared" ref="O208:O271" si="29">((Achslast_2_2*10^3/2)/(4*(1/Lelastisch_2))*EXP(-(1/Lelastisch_2)*ABS(M208-$D$32)*10^3)*(COS(ABS(M208-$D$32)*10^3/Lelastisch_2)-SIN(ABS(M208-$D$32)*10^3/Lelastisch_2))+(Achslast_1_2*10^3/2)/(4*(1/Lelastisch_2))*EXP(-(1/Lelastisch_2)*ABS(M208-$D$31)*10^3)*(COS(ABS(M208-$D$31)*10^3/Lelastisch_2)-SIN(ABS(M208-$D$31)*10^3/Lelastisch_2)))*10^-6</f>
        <v>-2.1118462190645304</v>
      </c>
      <c r="P208" s="39">
        <f t="shared" ref="P208:P271" si="30">((Achslast_2_2*10^3*kd_2*kq_2/2)/(4*(1/Lelastisch_2))*EXP(-(1/Lelastisch_2)*ABS(M208-$D$32)*10^3)*(COS(ABS(M208-$D$32)*10^3/Lelastisch_2)-SIN(ABS(M208-$D$32)*10^3/Lelastisch_2))+(Achslast_1_2*10^3*kd_2*kq_2/2)/(4*(1/Lelastisch_2))*EXP(-(1/Lelastisch_2)*ABS(M208-$D$31)*10^3)*(COS(ABS(M208-$D$31)*10^3/Lelastisch_2)-SIN(ABS(M208-$D$31)*10^3/Lelastisch_2)))*10^-6</f>
        <v>-3.9597116607459948</v>
      </c>
      <c r="Q208" s="39">
        <f t="shared" ref="Q208:Q271" si="31">O208/WSchiene_1*10^6</f>
        <v>-9.7635054048290808</v>
      </c>
      <c r="R208" s="40" cm="1">
        <f t="array" ref="R208">(O208/WSchiene_2)*10^6*(1+3*Faktor_Oberbauzustand_2*fPersonenzüge_2)</f>
        <v>-12.846717637933002</v>
      </c>
      <c r="S208" s="40" cm="1">
        <f t="array" ref="S208">(O208/WSchiene_2)*10^6*(1+3*Faktor_Oberbauzustand_2*fGüterzüge_2)</f>
        <v>-12.692557026277806</v>
      </c>
      <c r="T208" s="40" t="e">
        <f t="shared" si="26"/>
        <v>#N/A</v>
      </c>
      <c r="U208" s="39" cm="1">
        <f t="array" ref="U208">ktot_2*N208</f>
        <v>0.10338527501038876</v>
      </c>
      <c r="V208" s="139">
        <f t="shared" si="27"/>
        <v>28.788060189811855</v>
      </c>
    </row>
    <row r="209" spans="13:22">
      <c r="M209" s="38">
        <f t="shared" ref="M209:M272" si="32">MIN(M208+Dx,LSchiene)</f>
        <v>19.100000000000001</v>
      </c>
      <c r="N209" s="39">
        <f t="shared" si="28"/>
        <v>-1.7191391763238282E-2</v>
      </c>
      <c r="O209" s="39">
        <f t="shared" si="29"/>
        <v>-1.8549788505055909</v>
      </c>
      <c r="P209" s="39">
        <f t="shared" si="30"/>
        <v>-3.4780853446979827</v>
      </c>
      <c r="Q209" s="39">
        <f t="shared" si="31"/>
        <v>-8.5759540014128106</v>
      </c>
      <c r="R209" s="40" cm="1">
        <f t="array" ref="R209">(O209/WSchiene_2)*10^6*(1+3*Faktor_Oberbauzustand_2*fPersonenzüge_2)</f>
        <v>-11.284150001858961</v>
      </c>
      <c r="S209" s="40" cm="1">
        <f t="array" ref="S209">(O209/WSchiene_2)*10^6*(1+3*Faktor_Oberbauzustand_2*fGüterzüge_2)</f>
        <v>-11.148740201836654</v>
      </c>
      <c r="T209" s="40" t="e">
        <f t="shared" si="26"/>
        <v>#N/A</v>
      </c>
      <c r="U209" s="39" cm="1">
        <f t="array" ref="U209">ktot_2*N209</f>
        <v>-0.34629891859803635</v>
      </c>
      <c r="V209" s="139">
        <f t="shared" si="27"/>
        <v>28.788060189811855</v>
      </c>
    </row>
    <row r="210" spans="13:22">
      <c r="M210" s="38">
        <f t="shared" si="32"/>
        <v>19.200000000000003</v>
      </c>
      <c r="N210" s="39">
        <f t="shared" si="28"/>
        <v>-3.4098265086418812E-2</v>
      </c>
      <c r="O210" s="39">
        <f t="shared" si="29"/>
        <v>-1.6037316030862805</v>
      </c>
      <c r="P210" s="39">
        <f t="shared" si="30"/>
        <v>-3.0069967557867758</v>
      </c>
      <c r="Q210" s="39">
        <f t="shared" si="31"/>
        <v>-7.4143855898579769</v>
      </c>
      <c r="R210" s="40" cm="1">
        <f t="array" ref="R210">(O210/WSchiene_2)*10^6*(1+3*Faktor_Oberbauzustand_2*fPersonenzüge_2)</f>
        <v>-9.7557705129710222</v>
      </c>
      <c r="S210" s="40" cm="1">
        <f t="array" ref="S210">(O210/WSchiene_2)*10^6*(1+3*Faktor_Oberbauzustand_2*fGüterzüge_2)</f>
        <v>-9.6387012668153709</v>
      </c>
      <c r="T210" s="40" t="e">
        <f t="shared" si="26"/>
        <v>#N/A</v>
      </c>
      <c r="U210" s="39" cm="1">
        <f t="array" ref="U210">ktot_2*N210</f>
        <v>-0.68686657183546984</v>
      </c>
      <c r="V210" s="139">
        <f t="shared" si="27"/>
        <v>28.788060189811855</v>
      </c>
    </row>
    <row r="211" spans="13:22">
      <c r="M211" s="38">
        <f t="shared" si="32"/>
        <v>19.300000000000004</v>
      </c>
      <c r="N211" s="39">
        <f t="shared" si="28"/>
        <v>-4.6320361798039188E-2</v>
      </c>
      <c r="O211" s="39">
        <f t="shared" si="29"/>
        <v>-1.3638011103913485</v>
      </c>
      <c r="P211" s="39">
        <f t="shared" si="30"/>
        <v>-2.5571270819837784</v>
      </c>
      <c r="Q211" s="39">
        <f t="shared" si="31"/>
        <v>-6.3051368950131694</v>
      </c>
      <c r="R211" s="40" cm="1">
        <f t="array" ref="R211">(O211/WSchiene_2)*10^6*(1+3*Faktor_Oberbauzustand_2*fPersonenzüge_2)</f>
        <v>-8.296232756596277</v>
      </c>
      <c r="S211" s="40" cm="1">
        <f t="array" ref="S211">(O211/WSchiene_2)*10^6*(1+3*Faktor_Oberbauzustand_2*fGüterzüge_2)</f>
        <v>-8.1966779635171214</v>
      </c>
      <c r="T211" s="40" t="e">
        <f t="shared" si="26"/>
        <v>#N/A</v>
      </c>
      <c r="U211" s="39" cm="1">
        <f t="array" ref="U211">ktot_2*N211</f>
        <v>-0.93306530504597351</v>
      </c>
      <c r="V211" s="139">
        <f t="shared" si="27"/>
        <v>28.788060189811855</v>
      </c>
    </row>
    <row r="212" spans="13:22">
      <c r="M212" s="38">
        <f t="shared" si="32"/>
        <v>19.400000000000006</v>
      </c>
      <c r="N212" s="39">
        <f t="shared" si="28"/>
        <v>-5.4557145295487774E-2</v>
      </c>
      <c r="O212" s="39">
        <f t="shared" si="29"/>
        <v>-1.1393102706189933</v>
      </c>
      <c r="P212" s="39">
        <f t="shared" si="30"/>
        <v>-2.1362067574106129</v>
      </c>
      <c r="Q212" s="39">
        <f t="shared" si="31"/>
        <v>-5.2672689349005699</v>
      </c>
      <c r="R212" s="40" cm="1">
        <f t="array" ref="R212">(O212/WSchiene_2)*10^6*(1+3*Faktor_Oberbauzustand_2*fPersonenzüge_2)</f>
        <v>-6.9306170196060135</v>
      </c>
      <c r="S212" s="40" cm="1">
        <f t="array" ref="S212">(O212/WSchiene_2)*10^6*(1+3*Faktor_Oberbauzustand_2*fGüterzüge_2)</f>
        <v>-6.8474496153707411</v>
      </c>
      <c r="T212" s="40" t="e">
        <f t="shared" si="26"/>
        <v>#N/A</v>
      </c>
      <c r="U212" s="39" cm="1">
        <f t="array" ref="U212">ktot_2*N212</f>
        <v>-1.0989849267482774</v>
      </c>
      <c r="V212" s="139">
        <f t="shared" si="27"/>
        <v>28.788060189811855</v>
      </c>
    </row>
    <row r="213" spans="13:22">
      <c r="M213" s="38">
        <f t="shared" si="32"/>
        <v>19.500000000000007</v>
      </c>
      <c r="N213" s="39">
        <f t="shared" si="28"/>
        <v>-5.9463329414257991E-2</v>
      </c>
      <c r="O213" s="39">
        <f t="shared" si="29"/>
        <v>-0.93304273933157711</v>
      </c>
      <c r="P213" s="39">
        <f t="shared" si="30"/>
        <v>-1.7494551362467072</v>
      </c>
      <c r="Q213" s="39">
        <f t="shared" si="31"/>
        <v>-4.3136511295958258</v>
      </c>
      <c r="R213" s="40" cm="1">
        <f t="array" ref="R213">(O213/WSchiene_2)*10^6*(1+3*Faktor_Oberbauzustand_2*fPersonenzüge_2)</f>
        <v>-5.675856749468192</v>
      </c>
      <c r="S213" s="40" cm="1">
        <f t="array" ref="S213">(O213/WSchiene_2)*10^6*(1+3*Faktor_Oberbauzustand_2*fGüterzüge_2)</f>
        <v>-5.6077464684745735</v>
      </c>
      <c r="T213" s="40" t="e">
        <f t="shared" si="26"/>
        <v>#N/A</v>
      </c>
      <c r="U213" s="39" cm="1">
        <f t="array" ref="U213">ktot_2*N213</f>
        <v>-1.1978138219402366</v>
      </c>
      <c r="V213" s="139">
        <f t="shared" si="27"/>
        <v>28.788060189811855</v>
      </c>
    </row>
    <row r="214" spans="13:22">
      <c r="M214" s="38">
        <f t="shared" si="32"/>
        <v>19.600000000000009</v>
      </c>
      <c r="N214" s="39">
        <f t="shared" si="28"/>
        <v>-6.164069824812779E-2</v>
      </c>
      <c r="O214" s="39">
        <f t="shared" si="29"/>
        <v>-0.74666250790914135</v>
      </c>
      <c r="P214" s="39">
        <f t="shared" si="30"/>
        <v>-1.3999922023296401</v>
      </c>
      <c r="Q214" s="39">
        <f t="shared" si="31"/>
        <v>-3.4519764582022252</v>
      </c>
      <c r="R214" s="40" cm="1">
        <f t="array" ref="R214">(O214/WSchiene_2)*10^6*(1+3*Faktor_Oberbauzustand_2*fPersonenzüge_2)</f>
        <v>-4.5420742871081909</v>
      </c>
      <c r="S214" s="40" cm="1">
        <f t="array" ref="S214">(O214/WSchiene_2)*10^6*(1+3*Faktor_Oberbauzustand_2*fGüterzüge_2)</f>
        <v>-4.4875693956628933</v>
      </c>
      <c r="T214" s="40" t="e">
        <f t="shared" si="26"/>
        <v>#N/A</v>
      </c>
      <c r="U214" s="39" cm="1">
        <f t="array" ref="U214">ktot_2*N214</f>
        <v>-1.2416741726868561</v>
      </c>
      <c r="V214" s="139">
        <f t="shared" si="27"/>
        <v>28.788060189811855</v>
      </c>
    </row>
    <row r="215" spans="13:22">
      <c r="M215" s="38">
        <f t="shared" si="32"/>
        <v>19.70000000000001</v>
      </c>
      <c r="N215" s="39">
        <f t="shared" si="28"/>
        <v>-6.1633199080298851E-2</v>
      </c>
      <c r="O215" s="39">
        <f t="shared" si="29"/>
        <v>-0.58091580345486404</v>
      </c>
      <c r="P215" s="39">
        <f t="shared" si="30"/>
        <v>-1.0892171314778702</v>
      </c>
      <c r="Q215" s="39">
        <f t="shared" si="31"/>
        <v>-2.6856948842111144</v>
      </c>
      <c r="R215" s="40" cm="1">
        <f t="array" ref="R215">(O215/WSchiene_2)*10^6*(1+3*Faktor_Oberbauzustand_2*fPersonenzüge_2)</f>
        <v>-3.533809058172519</v>
      </c>
      <c r="S215" s="40" cm="1">
        <f t="array" ref="S215">(O215/WSchiene_2)*10^6*(1+3*Faktor_Oberbauzustand_2*fGüterzüge_2)</f>
        <v>-3.491403349474449</v>
      </c>
      <c r="T215" s="40" t="e">
        <f t="shared" si="26"/>
        <v>#N/A</v>
      </c>
      <c r="U215" s="39" cm="1">
        <f t="array" ref="U215">ktot_2*N215</f>
        <v>-1.2415231114030862</v>
      </c>
      <c r="V215" s="139">
        <f t="shared" si="27"/>
        <v>28.788060189811855</v>
      </c>
    </row>
    <row r="216" spans="13:22">
      <c r="M216" s="38">
        <f t="shared" si="32"/>
        <v>19.800000000000011</v>
      </c>
      <c r="N216" s="39">
        <f t="shared" si="28"/>
        <v>-5.9924719392479064E-2</v>
      </c>
      <c r="O216" s="39">
        <f t="shared" si="29"/>
        <v>-0.43581364622076973</v>
      </c>
      <c r="P216" s="39">
        <f t="shared" si="30"/>
        <v>-0.81715058666394325</v>
      </c>
      <c r="Q216" s="39">
        <f t="shared" si="31"/>
        <v>-2.0148573565453987</v>
      </c>
      <c r="R216" s="40" cm="1">
        <f t="array" ref="R216">(O216/WSchiene_2)*10^6*(1+3*Faktor_Oberbauzustand_2*fPersonenzüge_2)</f>
        <v>-2.6511281007176302</v>
      </c>
      <c r="S216" s="40" cm="1">
        <f t="array" ref="S216">(O216/WSchiene_2)*10^6*(1+3*Faktor_Oberbauzustand_2*fGüterzüge_2)</f>
        <v>-2.6193145635090183</v>
      </c>
      <c r="T216" s="40" t="e">
        <f t="shared" si="26"/>
        <v>#N/A</v>
      </c>
      <c r="U216" s="39" cm="1">
        <f t="array" ref="U216">ktot_2*N216</f>
        <v>-1.2071079415037029</v>
      </c>
      <c r="V216" s="139">
        <f t="shared" si="27"/>
        <v>28.788060189811855</v>
      </c>
    </row>
    <row r="217" spans="13:22">
      <c r="M217" s="38">
        <f t="shared" si="32"/>
        <v>19.900000000000013</v>
      </c>
      <c r="N217" s="39">
        <f t="shared" si="28"/>
        <v>-5.6939015168786244E-2</v>
      </c>
      <c r="O217" s="39">
        <f t="shared" si="29"/>
        <v>-0.31079430332222358</v>
      </c>
      <c r="P217" s="39">
        <f t="shared" si="30"/>
        <v>-0.58273931872916918</v>
      </c>
      <c r="Q217" s="39">
        <f t="shared" si="31"/>
        <v>-1.4368668669543392</v>
      </c>
      <c r="R217" s="40" cm="1">
        <f t="array" ref="R217">(O217/WSchiene_2)*10^6*(1+3*Faktor_Oberbauzustand_2*fPersonenzüge_2)</f>
        <v>-1.8906142986241306</v>
      </c>
      <c r="S217" s="40" cm="1">
        <f t="array" ref="S217">(O217/WSchiene_2)*10^6*(1+3*Faktor_Oberbauzustand_2*fGüterzüge_2)</f>
        <v>-1.8679269270406409</v>
      </c>
      <c r="T217" s="40" t="e">
        <f t="shared" si="26"/>
        <v>#N/A</v>
      </c>
      <c r="U217" s="39" cm="1">
        <f t="array" ref="U217">ktot_2*N217</f>
        <v>-1.1469646931758171</v>
      </c>
      <c r="V217" s="139">
        <f t="shared" si="27"/>
        <v>28.788060189811855</v>
      </c>
    </row>
    <row r="218" spans="13:22">
      <c r="M218" s="38">
        <f t="shared" si="32"/>
        <v>20.000000000000014</v>
      </c>
      <c r="N218" s="39">
        <f t="shared" si="28"/>
        <v>-5.3041316227133178E-2</v>
      </c>
      <c r="O218" s="39">
        <f t="shared" si="29"/>
        <v>-0.20486560140184601</v>
      </c>
      <c r="P218" s="39">
        <f t="shared" si="30"/>
        <v>-0.38412300262846127</v>
      </c>
      <c r="Q218" s="39">
        <f t="shared" si="31"/>
        <v>-0.94713639113197412</v>
      </c>
      <c r="R218" s="40" cm="1">
        <f t="array" ref="R218">(O218/WSchiene_2)*10^6*(1+3*Faktor_Oberbauzustand_2*fPersonenzüge_2)</f>
        <v>-1.2462320935947029</v>
      </c>
      <c r="S218" s="40" cm="1">
        <f t="array" ref="S218">(O218/WSchiene_2)*10^6*(1+3*Faktor_Oberbauzustand_2*fGüterzüge_2)</f>
        <v>-1.2312773084715665</v>
      </c>
      <c r="T218" s="40" t="e">
        <f t="shared" si="26"/>
        <v>#N/A</v>
      </c>
      <c r="U218" s="39" cm="1">
        <f t="array" ref="U218">ktot_2*N218</f>
        <v>-1.068450460756224</v>
      </c>
      <c r="V218" s="139">
        <f t="shared" si="27"/>
        <v>28.788060189811855</v>
      </c>
    </row>
    <row r="219" spans="13:22">
      <c r="M219" s="38">
        <f t="shared" si="32"/>
        <v>20.100000000000016</v>
      </c>
      <c r="N219" s="39">
        <f t="shared" si="28"/>
        <v>-4.8541192974282041E-2</v>
      </c>
      <c r="O219" s="39">
        <f t="shared" si="29"/>
        <v>-0.11672762557379397</v>
      </c>
      <c r="P219" s="39">
        <f t="shared" si="30"/>
        <v>-0.21886429795086373</v>
      </c>
      <c r="Q219" s="39">
        <f t="shared" si="31"/>
        <v>-0.53965615152008306</v>
      </c>
      <c r="R219" s="40" cm="1">
        <f t="array" ref="R219">(O219/WSchiene_2)*10^6*(1+3*Faktor_Oberbauzustand_2*fPersonenzüge_2)</f>
        <v>-0.71007388357905676</v>
      </c>
      <c r="S219" s="40" cm="1">
        <f t="array" ref="S219">(O219/WSchiene_2)*10^6*(1+3*Faktor_Oberbauzustand_2*fGüterzüge_2)</f>
        <v>-0.70155299697610796</v>
      </c>
      <c r="T219" s="40" t="e">
        <f t="shared" si="26"/>
        <v>#N/A</v>
      </c>
      <c r="U219" s="39" cm="1">
        <f t="array" ref="U219">ktot_2*N219</f>
        <v>-0.97780114989864397</v>
      </c>
      <c r="V219" s="139">
        <f t="shared" si="27"/>
        <v>28.788060189811855</v>
      </c>
    </row>
    <row r="220" spans="13:22">
      <c r="M220" s="38">
        <f t="shared" si="32"/>
        <v>20.200000000000017</v>
      </c>
      <c r="N220" s="39">
        <f t="shared" si="28"/>
        <v>-4.3696326138719724E-2</v>
      </c>
      <c r="O220" s="39">
        <f t="shared" si="29"/>
        <v>-4.4876757076719946E-2</v>
      </c>
      <c r="P220" s="39">
        <f t="shared" si="30"/>
        <v>-8.4143919518849919E-2</v>
      </c>
      <c r="Q220" s="39">
        <f t="shared" si="31"/>
        <v>-0.20747460507036497</v>
      </c>
      <c r="R220" s="40" cm="1">
        <f t="array" ref="R220">(O220/WSchiene_2)*10^6*(1+3*Faktor_Oberbauzustand_2*fPersonenzüge_2)</f>
        <v>-0.27299290140837495</v>
      </c>
      <c r="S220" s="40" cm="1">
        <f t="array" ref="S220">(O220/WSchiene_2)*10^6*(1+3*Faktor_Oberbauzustand_2*fGüterzüge_2)</f>
        <v>-0.26971698659147447</v>
      </c>
      <c r="T220" s="40" t="e">
        <f t="shared" si="26"/>
        <v>#N/A</v>
      </c>
      <c r="U220" s="39" cm="1">
        <f t="array" ref="U220">ktot_2*N220</f>
        <v>-0.88020741409102699</v>
      </c>
      <c r="V220" s="139">
        <f t="shared" si="27"/>
        <v>28.788060189811855</v>
      </c>
    </row>
    <row r="221" spans="13:22">
      <c r="M221" s="38">
        <f t="shared" si="32"/>
        <v>20.300000000000018</v>
      </c>
      <c r="N221" s="39">
        <f t="shared" si="28"/>
        <v>-3.8716875442196916E-2</v>
      </c>
      <c r="O221" s="39">
        <f t="shared" si="29"/>
        <v>1.2307693257057132E-2</v>
      </c>
      <c r="P221" s="39">
        <f t="shared" si="30"/>
        <v>2.3076924856982123E-2</v>
      </c>
      <c r="Q221" s="39">
        <f t="shared" si="31"/>
        <v>5.6901032163925717E-2</v>
      </c>
      <c r="R221" s="40" cm="1">
        <f t="array" ref="R221">(O221/WSchiene_2)*10^6*(1+3*Faktor_Oberbauzustand_2*fPersonenzüge_2)</f>
        <v>7.486977916306016E-2</v>
      </c>
      <c r="S221" s="40" cm="1">
        <f t="array" ref="S221">(O221/WSchiene_2)*10^6*(1+3*Faktor_Oberbauzustand_2*fGüterzüge_2)</f>
        <v>7.3971341813103442E-2</v>
      </c>
      <c r="T221" s="40" t="e">
        <f t="shared" si="26"/>
        <v>#N/A</v>
      </c>
      <c r="U221" s="39" cm="1">
        <f t="array" ref="U221">ktot_2*N221</f>
        <v>-0.77990265603732112</v>
      </c>
      <c r="V221" s="139">
        <f t="shared" si="27"/>
        <v>28.788060189811855</v>
      </c>
    </row>
    <row r="222" spans="13:22">
      <c r="M222" s="38">
        <f t="shared" si="32"/>
        <v>20.40000000000002</v>
      </c>
      <c r="N222" s="39">
        <f t="shared" si="28"/>
        <v>-3.3770193932248505E-2</v>
      </c>
      <c r="O222" s="39">
        <f t="shared" si="29"/>
        <v>5.6492796106543695E-2</v>
      </c>
      <c r="P222" s="39">
        <f t="shared" si="30"/>
        <v>0.10592399269976942</v>
      </c>
      <c r="Q222" s="39">
        <f t="shared" si="31"/>
        <v>0.26117797552724781</v>
      </c>
      <c r="R222" s="40" cm="1">
        <f t="array" ref="R222">(O222/WSchiene_2)*10^6*(1+3*Faktor_Oberbauzustand_2*fPersonenzüge_2)</f>
        <v>0.34365523095690503</v>
      </c>
      <c r="S222" s="40" cm="1">
        <f t="array" ref="S222">(O222/WSchiene_2)*10^6*(1+3*Faktor_Oberbauzustand_2*fGüterzüge_2)</f>
        <v>0.33953136818542218</v>
      </c>
      <c r="T222" s="40" t="e">
        <f t="shared" si="26"/>
        <v>#N/A</v>
      </c>
      <c r="U222" s="39" cm="1">
        <f t="array" ref="U222">ktot_2*N222</f>
        <v>-0.6802579919440308</v>
      </c>
      <c r="V222" s="139">
        <f t="shared" si="27"/>
        <v>28.788060189811855</v>
      </c>
    </row>
    <row r="223" spans="13:22">
      <c r="M223" s="38">
        <f t="shared" si="32"/>
        <v>20.500000000000021</v>
      </c>
      <c r="N223" s="39">
        <f t="shared" si="28"/>
        <v>-2.8985681218943252E-2</v>
      </c>
      <c r="O223" s="39">
        <f t="shared" si="29"/>
        <v>8.9335682381193007E-2</v>
      </c>
      <c r="P223" s="39">
        <f t="shared" si="30"/>
        <v>0.16750440446473688</v>
      </c>
      <c r="Q223" s="39">
        <f t="shared" si="31"/>
        <v>0.41301748673690708</v>
      </c>
      <c r="R223" s="40" cm="1">
        <f t="array" ref="R223">(O223/WSchiene_2)*10^6*(1+3*Faktor_Oberbauzustand_2*fPersonenzüge_2)</f>
        <v>0.54344406149593039</v>
      </c>
      <c r="S223" s="40" cm="1">
        <f t="array" ref="S223">(O223/WSchiene_2)*10^6*(1+3*Faktor_Oberbauzustand_2*fGüterzüge_2)</f>
        <v>0.53692273275797919</v>
      </c>
      <c r="T223" s="40" t="e">
        <f t="shared" si="26"/>
        <v>#N/A</v>
      </c>
      <c r="U223" s="39" cm="1">
        <f t="array" ref="U223">ktot_2*N223</f>
        <v>-0.58388001385739419</v>
      </c>
      <c r="V223" s="139">
        <f t="shared" si="27"/>
        <v>28.788060189811855</v>
      </c>
    </row>
    <row r="224" spans="13:22">
      <c r="M224" s="38">
        <f t="shared" si="32"/>
        <v>20.600000000000023</v>
      </c>
      <c r="N224" s="39">
        <f t="shared" si="28"/>
        <v>-2.4459610793091897E-2</v>
      </c>
      <c r="O224" s="39">
        <f t="shared" si="29"/>
        <v>0.11243996478653548</v>
      </c>
      <c r="P224" s="39">
        <f t="shared" si="30"/>
        <v>0.21082493397475402</v>
      </c>
      <c r="Q224" s="39">
        <f t="shared" si="31"/>
        <v>0.51983340169456993</v>
      </c>
      <c r="R224" s="40" cm="1">
        <f t="array" ref="R224">(O224/WSchiene_2)*10^6*(1+3*Faktor_Oberbauzustand_2*fPersonenzüge_2)</f>
        <v>0.68399131801917101</v>
      </c>
      <c r="S224" s="40" cm="1">
        <f t="array" ref="S224">(O224/WSchiene_2)*10^6*(1+3*Faktor_Oberbauzustand_2*fGüterzüge_2)</f>
        <v>0.67578342220294096</v>
      </c>
      <c r="T224" s="40" t="e">
        <f t="shared" si="26"/>
        <v>#N/A</v>
      </c>
      <c r="U224" s="39" cm="1">
        <f t="array" ref="U224">ktot_2*N224</f>
        <v>-0.49270802990420914</v>
      </c>
      <c r="V224" s="139">
        <f t="shared" si="27"/>
        <v>28.788060189811855</v>
      </c>
    </row>
    <row r="225" spans="13:22">
      <c r="M225" s="38">
        <f t="shared" si="32"/>
        <v>20.700000000000024</v>
      </c>
      <c r="N225" s="39">
        <f t="shared" si="28"/>
        <v>-2.025980380718246E-2</v>
      </c>
      <c r="O225" s="39">
        <f t="shared" si="29"/>
        <v>0.12732328512947205</v>
      </c>
      <c r="P225" s="39">
        <f t="shared" si="30"/>
        <v>0.23873115961776012</v>
      </c>
      <c r="Q225" s="39">
        <f t="shared" si="31"/>
        <v>0.58864209491202979</v>
      </c>
      <c r="R225" s="40" cm="1">
        <f t="array" ref="R225">(O225/WSchiene_2)*10^6*(1+3*Faktor_Oberbauzustand_2*fPersonenzüge_2)</f>
        <v>0.77452907225267087</v>
      </c>
      <c r="S225" s="40" cm="1">
        <f t="array" ref="S225">(O225/WSchiene_2)*10^6*(1+3*Faktor_Oberbauzustand_2*fGüterzüge_2)</f>
        <v>0.7652347233856388</v>
      </c>
      <c r="T225" s="40" t="e">
        <f t="shared" si="26"/>
        <v>#N/A</v>
      </c>
      <c r="U225" s="39" cm="1">
        <f t="array" ref="U225">ktot_2*N225</f>
        <v>-0.40810821171782169</v>
      </c>
      <c r="V225" s="139">
        <f t="shared" si="27"/>
        <v>28.788060189811855</v>
      </c>
    </row>
    <row r="226" spans="13:22">
      <c r="M226" s="38">
        <f t="shared" si="32"/>
        <v>20.800000000000026</v>
      </c>
      <c r="N226" s="39">
        <f t="shared" si="28"/>
        <v>-1.6430054193735812E-2</v>
      </c>
      <c r="O226" s="39">
        <f t="shared" si="29"/>
        <v>0.13539442089442025</v>
      </c>
      <c r="P226" s="39">
        <f t="shared" si="30"/>
        <v>0.25386453917703794</v>
      </c>
      <c r="Q226" s="39">
        <f t="shared" si="31"/>
        <v>0.6259566384392985</v>
      </c>
      <c r="R226" s="40" cm="1">
        <f t="array" ref="R226">(O226/WSchiene_2)*10^6*(1+3*Faktor_Oberbauzustand_2*fPersonenzüge_2)</f>
        <v>0.82362715584118229</v>
      </c>
      <c r="S226" s="40" cm="1">
        <f t="array" ref="S226">(O226/WSchiene_2)*10^6*(1+3*Faktor_Oberbauzustand_2*fGüterzüge_2)</f>
        <v>0.81374362997108807</v>
      </c>
      <c r="T226" s="40" t="e">
        <f t="shared" si="26"/>
        <v>#N/A</v>
      </c>
      <c r="U226" s="39" cm="1">
        <f t="array" ref="U226">ktot_2*N226</f>
        <v>-0.33096273286986583</v>
      </c>
      <c r="V226" s="139">
        <f t="shared" si="27"/>
        <v>28.788060189811855</v>
      </c>
    </row>
    <row r="227" spans="13:22">
      <c r="M227" s="38">
        <f t="shared" si="32"/>
        <v>20.900000000000027</v>
      </c>
      <c r="N227" s="39">
        <f t="shared" si="28"/>
        <v>-1.2994237923762515E-2</v>
      </c>
      <c r="O227" s="39">
        <f t="shared" si="29"/>
        <v>0.13793846732372841</v>
      </c>
      <c r="P227" s="39">
        <f t="shared" si="30"/>
        <v>0.25863462623199085</v>
      </c>
      <c r="Q227" s="39">
        <f t="shared" si="31"/>
        <v>0.63771829553272497</v>
      </c>
      <c r="R227" s="40" cm="1">
        <f t="array" ref="R227">(O227/WSchiene_2)*10^6*(1+3*Faktor_Oberbauzustand_2*fPersonenzüge_2)</f>
        <v>0.83910302043779605</v>
      </c>
      <c r="S227" s="40" cm="1">
        <f t="array" ref="S227">(O227/WSchiene_2)*10^6*(1+3*Faktor_Oberbauzustand_2*fGüterzüge_2)</f>
        <v>0.82903378419254248</v>
      </c>
      <c r="T227" s="40" t="e">
        <f t="shared" si="26"/>
        <v>#N/A</v>
      </c>
      <c r="U227" s="39" cm="1">
        <f t="array" ref="U227">ktot_2*N227</f>
        <v>-0.26175254470246123</v>
      </c>
      <c r="V227" s="139">
        <f t="shared" si="27"/>
        <v>28.788060189811855</v>
      </c>
    </row>
    <row r="228" spans="13:22">
      <c r="M228" s="38">
        <f t="shared" si="32"/>
        <v>21.000000000000028</v>
      </c>
      <c r="N228" s="39">
        <f t="shared" si="28"/>
        <v>-9.9600628097178314E-3</v>
      </c>
      <c r="O228" s="39">
        <f t="shared" si="29"/>
        <v>0.13610871661921531</v>
      </c>
      <c r="P228" s="39">
        <f t="shared" si="30"/>
        <v>0.25520384366102877</v>
      </c>
      <c r="Q228" s="39">
        <f t="shared" si="31"/>
        <v>0.62925897651047302</v>
      </c>
      <c r="R228" s="40" cm="1">
        <f t="array" ref="R228">(O228/WSchiene_2)*10^6*(1+3*Faktor_Oberbauzustand_2*fPersonenzüge_2)</f>
        <v>0.8279723375137803</v>
      </c>
      <c r="S228" s="40" cm="1">
        <f t="array" ref="S228">(O228/WSchiene_2)*10^6*(1+3*Faktor_Oberbauzustand_2*fGüterzüge_2)</f>
        <v>0.81803666946361497</v>
      </c>
      <c r="T228" s="40" t="e">
        <f t="shared" si="26"/>
        <v>#N/A</v>
      </c>
      <c r="U228" s="39" cm="1">
        <f t="array" ref="U228">ktot_2*N228</f>
        <v>-0.200632911382394</v>
      </c>
      <c r="V228" s="139">
        <f t="shared" si="27"/>
        <v>28.788060189811855</v>
      </c>
    </row>
    <row r="229" spans="13:22">
      <c r="M229" s="38">
        <f t="shared" si="32"/>
        <v>21.10000000000003</v>
      </c>
      <c r="N229" s="39">
        <f t="shared" si="28"/>
        <v>-7.3224348385264263E-3</v>
      </c>
      <c r="O229" s="39">
        <f t="shared" si="29"/>
        <v>0.1309239760139877</v>
      </c>
      <c r="P229" s="39">
        <f t="shared" si="30"/>
        <v>0.24548245502622698</v>
      </c>
      <c r="Q229" s="39">
        <f t="shared" si="31"/>
        <v>0.60528883963933289</v>
      </c>
      <c r="R229" s="40" cm="1">
        <f t="array" ref="R229">(O229/WSchiene_2)*10^6*(1+3*Faktor_Oberbauzustand_2*fPersonenzüge_2)</f>
        <v>0.79643268373596443</v>
      </c>
      <c r="S229" s="40" cm="1">
        <f t="array" ref="S229">(O229/WSchiene_2)*10^6*(1+3*Faktor_Oberbauzustand_2*fGüterzüge_2)</f>
        <v>0.78687549153113279</v>
      </c>
      <c r="T229" s="40" t="e">
        <f t="shared" si="26"/>
        <v>#N/A</v>
      </c>
      <c r="U229" s="39" cm="1">
        <f t="array" ref="U229">ktot_2*N229</f>
        <v>-0.14750122043688671</v>
      </c>
      <c r="V229" s="139">
        <f t="shared" si="27"/>
        <v>28.788060189811855</v>
      </c>
    </row>
    <row r="230" spans="13:22">
      <c r="M230" s="38">
        <f t="shared" si="32"/>
        <v>21.200000000000031</v>
      </c>
      <c r="N230" s="39">
        <f t="shared" si="28"/>
        <v>-5.0664329300027658E-3</v>
      </c>
      <c r="O230" s="39">
        <f t="shared" si="29"/>
        <v>0.12327019476107286</v>
      </c>
      <c r="P230" s="39">
        <f t="shared" si="30"/>
        <v>0.23113161517701161</v>
      </c>
      <c r="Q230" s="39">
        <f t="shared" si="31"/>
        <v>0.56990381304240811</v>
      </c>
      <c r="R230" s="40" cm="1">
        <f t="array" ref="R230">(O230/WSchiene_2)*10^6*(1+3*Faktor_Oberbauzustand_2*fPersonenzüge_2)</f>
        <v>0.7498734382136949</v>
      </c>
      <c r="S230" s="40" cm="1">
        <f t="array" ref="S230">(O230/WSchiene_2)*10^6*(1+3*Faktor_Oberbauzustand_2*fGüterzüge_2)</f>
        <v>0.74087495695513061</v>
      </c>
      <c r="T230" s="40" t="e">
        <f t="shared" si="26"/>
        <v>#N/A</v>
      </c>
      <c r="U230" s="39" cm="1">
        <f t="array" ref="U230">ktot_2*N230</f>
        <v>-0.10205690551251503</v>
      </c>
      <c r="V230" s="139">
        <f t="shared" si="27"/>
        <v>28.788060189811855</v>
      </c>
    </row>
    <row r="231" spans="13:22">
      <c r="M231" s="38">
        <f t="shared" si="32"/>
        <v>21.300000000000033</v>
      </c>
      <c r="N231" s="39">
        <f t="shared" si="28"/>
        <v>-3.1698966275827117E-3</v>
      </c>
      <c r="O231" s="39">
        <f t="shared" si="29"/>
        <v>0.11390540119604474</v>
      </c>
      <c r="P231" s="39">
        <f t="shared" si="30"/>
        <v>0.21357262724258383</v>
      </c>
      <c r="Q231" s="39">
        <f t="shared" si="31"/>
        <v>0.52660841976904638</v>
      </c>
      <c r="R231" s="40" cm="1">
        <f t="array" ref="R231">(O231/WSchiene_2)*10^6*(1+3*Faktor_Oberbauzustand_2*fPersonenzüge_2)</f>
        <v>0.69290581548558738</v>
      </c>
      <c r="S231" s="40" cm="1">
        <f t="array" ref="S231">(O231/WSchiene_2)*10^6*(1+3*Faktor_Oberbauzustand_2*fGüterzüge_2)</f>
        <v>0.68459094569976031</v>
      </c>
      <c r="T231" s="40" t="e">
        <f t="shared" si="26"/>
        <v>#N/A</v>
      </c>
      <c r="U231" s="39" cm="1">
        <f t="array" ref="U231">ktot_2*N231</f>
        <v>-6.3853572143403911E-2</v>
      </c>
      <c r="V231" s="139">
        <f t="shared" si="27"/>
        <v>28.788060189811855</v>
      </c>
    </row>
    <row r="232" spans="13:22">
      <c r="M232" s="38">
        <f t="shared" si="32"/>
        <v>21.400000000000034</v>
      </c>
      <c r="N232" s="39">
        <f t="shared" si="28"/>
        <v>-1.6056409234450624E-3</v>
      </c>
      <c r="O232" s="39">
        <f t="shared" si="29"/>
        <v>0.10346708070995618</v>
      </c>
      <c r="P232" s="39">
        <f t="shared" si="30"/>
        <v>0.19400077633116783</v>
      </c>
      <c r="Q232" s="39">
        <f t="shared" si="31"/>
        <v>0.47834988770206277</v>
      </c>
      <c r="R232" s="40" cm="1">
        <f t="array" ref="R232">(O232/WSchiene_2)*10^6*(1+3*Faktor_Oberbauzustand_2*fPersonenzüge_2)</f>
        <v>0.62940774697639845</v>
      </c>
      <c r="S232" s="40" cm="1">
        <f t="array" ref="S232">(O232/WSchiene_2)*10^6*(1+3*Faktor_Oberbauzustand_2*fGüterzüge_2)</f>
        <v>0.62185485401268159</v>
      </c>
      <c r="T232" s="40" t="e">
        <f t="shared" si="26"/>
        <v>#N/A</v>
      </c>
      <c r="U232" s="39" cm="1">
        <f t="array" ref="U232">ktot_2*N232</f>
        <v>-3.2343612611678382E-2</v>
      </c>
      <c r="V232" s="139">
        <f t="shared" si="27"/>
        <v>28.788060189811855</v>
      </c>
    </row>
    <row r="233" spans="13:22">
      <c r="M233" s="38">
        <f t="shared" si="32"/>
        <v>21.500000000000036</v>
      </c>
      <c r="N233" s="39">
        <f t="shared" si="28"/>
        <v>-3.4331957663816514E-4</v>
      </c>
      <c r="O233" s="39">
        <f t="shared" si="29"/>
        <v>9.2481250450972649E-2</v>
      </c>
      <c r="P233" s="39">
        <f t="shared" si="30"/>
        <v>0.17340234459557372</v>
      </c>
      <c r="Q233" s="39">
        <f t="shared" si="31"/>
        <v>0.42756010379552772</v>
      </c>
      <c r="R233" s="40" cm="1">
        <f t="array" ref="R233">(O233/WSchiene_2)*10^6*(1+3*Faktor_Oberbauzustand_2*fPersonenzüge_2)</f>
        <v>0.56257908394148393</v>
      </c>
      <c r="S233" s="40" cm="1">
        <f t="array" ref="S233">(O233/WSchiene_2)*10^6*(1+3*Faktor_Oberbauzustand_2*fGüterzüge_2)</f>
        <v>0.55582813493418604</v>
      </c>
      <c r="T233" s="40" t="e">
        <f t="shared" si="26"/>
        <v>#N/A</v>
      </c>
      <c r="U233" s="39" cm="1">
        <f t="array" ref="U233">ktot_2*N233</f>
        <v>-6.9157401425501063E-3</v>
      </c>
      <c r="V233" s="139">
        <f t="shared" si="27"/>
        <v>28.788060189811855</v>
      </c>
    </row>
    <row r="234" spans="13:22">
      <c r="M234" s="38">
        <f t="shared" si="32"/>
        <v>21.600000000000037</v>
      </c>
      <c r="N234" s="39">
        <f t="shared" si="28"/>
        <v>6.4903673497187456E-4</v>
      </c>
      <c r="O234" s="39">
        <f t="shared" si="29"/>
        <v>8.1372604445283242E-2</v>
      </c>
      <c r="P234" s="39">
        <f t="shared" si="30"/>
        <v>0.15257363333490606</v>
      </c>
      <c r="Q234" s="39">
        <f t="shared" si="31"/>
        <v>0.37620251708406494</v>
      </c>
      <c r="R234" s="40" cm="1">
        <f t="array" ref="R234">(O234/WSchiene_2)*10^6*(1+3*Faktor_Oberbauzustand_2*fPersonenzüge_2)</f>
        <v>0.49500331195271707</v>
      </c>
      <c r="S234" s="40" cm="1">
        <f t="array" ref="S234">(O234/WSchiene_2)*10^6*(1+3*Faktor_Oberbauzustand_2*fGüterzüge_2)</f>
        <v>0.48906327220928442</v>
      </c>
      <c r="T234" s="40" t="e">
        <f t="shared" si="26"/>
        <v>#N/A</v>
      </c>
      <c r="U234" s="39" cm="1">
        <f t="array" ref="U234">ktot_2*N234</f>
        <v>1.3074026963412245E-2</v>
      </c>
      <c r="V234" s="139">
        <f t="shared" si="27"/>
        <v>28.788060189811855</v>
      </c>
    </row>
    <row r="235" spans="13:22">
      <c r="M235" s="38">
        <f t="shared" si="32"/>
        <v>21.700000000000038</v>
      </c>
      <c r="N235" s="39">
        <f t="shared" si="28"/>
        <v>1.4037779365360481E-3</v>
      </c>
      <c r="O235" s="39">
        <f t="shared" si="29"/>
        <v>7.0475211907854787E-2</v>
      </c>
      <c r="P235" s="39">
        <f t="shared" si="30"/>
        <v>0.13214102232722771</v>
      </c>
      <c r="Q235" s="39">
        <f t="shared" si="31"/>
        <v>0.32582159920413684</v>
      </c>
      <c r="R235" s="40" cm="1">
        <f t="array" ref="R235">(O235/WSchiene_2)*10^6*(1+3*Faktor_Oberbauzustand_2*fPersonenzüge_2)</f>
        <v>0.42871263053175901</v>
      </c>
      <c r="S235" s="40" cm="1">
        <f t="array" ref="S235">(O235/WSchiene_2)*10^6*(1+3*Faktor_Oberbauzustand_2*fGüterzüge_2)</f>
        <v>0.4235680789653779</v>
      </c>
      <c r="T235" s="40" t="e">
        <f t="shared" si="26"/>
        <v>#N/A</v>
      </c>
      <c r="U235" s="39" cm="1">
        <f t="array" ref="U235">ktot_2*N235</f>
        <v>2.8277337173697584E-2</v>
      </c>
      <c r="V235" s="139">
        <f t="shared" si="27"/>
        <v>28.788060189811855</v>
      </c>
    </row>
    <row r="236" spans="13:22">
      <c r="M236" s="38">
        <f t="shared" si="32"/>
        <v>21.80000000000004</v>
      </c>
      <c r="N236" s="39">
        <f t="shared" si="28"/>
        <v>1.9526566202918438E-3</v>
      </c>
      <c r="O236" s="39">
        <f t="shared" si="29"/>
        <v>6.0043350734399419E-2</v>
      </c>
      <c r="P236" s="39">
        <f t="shared" si="30"/>
        <v>0.1125812826269989</v>
      </c>
      <c r="Q236" s="39">
        <f t="shared" si="31"/>
        <v>0.27759292988626638</v>
      </c>
      <c r="R236" s="40" cm="1">
        <f t="array" ref="R236">(O236/WSchiene_2)*10^6*(1+3*Faktor_Oberbauzustand_2*fPersonenzüge_2)</f>
        <v>0.36525385511350844</v>
      </c>
      <c r="S236" s="40" cm="1">
        <f t="array" ref="S236">(O236/WSchiene_2)*10^6*(1+3*Faktor_Oberbauzustand_2*fGüterzüge_2)</f>
        <v>0.36087080885214629</v>
      </c>
      <c r="T236" s="40" t="e">
        <f t="shared" si="26"/>
        <v>#N/A</v>
      </c>
      <c r="U236" s="39" cm="1">
        <f t="array" ref="U236">ktot_2*N236</f>
        <v>3.9333806437146075E-2</v>
      </c>
      <c r="V236" s="139">
        <f t="shared" si="27"/>
        <v>28.788060189811855</v>
      </c>
    </row>
    <row r="237" spans="13:22">
      <c r="M237" s="38">
        <f t="shared" si="32"/>
        <v>21.900000000000041</v>
      </c>
      <c r="N237" s="39">
        <f t="shared" si="28"/>
        <v>2.3260831040591342E-3</v>
      </c>
      <c r="O237" s="39">
        <f t="shared" si="29"/>
        <v>5.0262146969140942E-2</v>
      </c>
      <c r="P237" s="39">
        <f t="shared" si="30"/>
        <v>9.4241525567139259E-2</v>
      </c>
      <c r="Q237" s="39">
        <f t="shared" si="31"/>
        <v>0.23237238543292157</v>
      </c>
      <c r="R237" s="40" cm="1">
        <f t="array" ref="R237">(O237/WSchiene_2)*10^6*(1+3*Faktor_Oberbauzustand_2*fPersonenzüge_2)</f>
        <v>0.30575313872752841</v>
      </c>
      <c r="S237" s="40" cm="1">
        <f t="array" ref="S237">(O237/WSchiene_2)*10^6*(1+3*Faktor_Oberbauzustand_2*fGüterzüge_2)</f>
        <v>0.30208410106279804</v>
      </c>
      <c r="T237" s="40" t="e">
        <f t="shared" si="26"/>
        <v>#N/A</v>
      </c>
      <c r="U237" s="39" cm="1">
        <f t="array" ref="U237">ktot_2*N237</f>
        <v>4.6856012276292214E-2</v>
      </c>
      <c r="V237" s="139">
        <f t="shared" si="27"/>
        <v>28.788060189811855</v>
      </c>
    </row>
    <row r="238" spans="13:22">
      <c r="M238" s="38">
        <f t="shared" si="32"/>
        <v>22.000000000000043</v>
      </c>
      <c r="N238" s="39">
        <f t="shared" si="28"/>
        <v>2.5525824837643609E-3</v>
      </c>
      <c r="O238" s="39">
        <f t="shared" si="29"/>
        <v>4.125776928158658E-2</v>
      </c>
      <c r="P238" s="39">
        <f t="shared" si="30"/>
        <v>7.735831740297483E-2</v>
      </c>
      <c r="Q238" s="39">
        <f t="shared" si="31"/>
        <v>0.1907432699102477</v>
      </c>
      <c r="R238" s="40" cm="1">
        <f t="array" ref="R238">(O238/WSchiene_2)*10^6*(1+3*Faktor_Oberbauzustand_2*fPersonenzüge_2)</f>
        <v>0.25097798672401017</v>
      </c>
      <c r="S238" s="40" cm="1">
        <f t="array" ref="S238">(O238/WSchiene_2)*10^6*(1+3*Faktor_Oberbauzustand_2*fGüterzüge_2)</f>
        <v>0.24796625088332203</v>
      </c>
      <c r="T238" s="40" t="e">
        <f t="shared" si="26"/>
        <v>#N/A</v>
      </c>
      <c r="U238" s="39" cm="1">
        <f t="array" ref="U238">ktot_2*N238</f>
        <v>5.14185567948095E-2</v>
      </c>
      <c r="V238" s="139">
        <f t="shared" si="27"/>
        <v>28.788060189811855</v>
      </c>
    </row>
    <row r="239" spans="13:22">
      <c r="M239" s="38">
        <f t="shared" si="32"/>
        <v>22.100000000000044</v>
      </c>
      <c r="N239" s="39">
        <f t="shared" si="28"/>
        <v>2.6584239622195506E-3</v>
      </c>
      <c r="O239" s="39">
        <f t="shared" si="29"/>
        <v>3.3106995336919728E-2</v>
      </c>
      <c r="P239" s="39">
        <f t="shared" si="30"/>
        <v>6.2075616256724496E-2</v>
      </c>
      <c r="Q239" s="39">
        <f t="shared" si="31"/>
        <v>0.15306054247304543</v>
      </c>
      <c r="R239" s="40" cm="1">
        <f t="array" ref="R239">(O239/WSchiene_2)*10^6*(1+3*Faktor_Oberbauzustand_2*fPersonenzüge_2)</f>
        <v>0.20139545062242822</v>
      </c>
      <c r="S239" s="40" cm="1">
        <f t="array" ref="S239">(O239/WSchiene_2)*10^6*(1+3*Faktor_Oberbauzustand_2*fGüterzüge_2)</f>
        <v>0.19897870521495906</v>
      </c>
      <c r="T239" s="40" t="e">
        <f t="shared" si="26"/>
        <v>#N/A</v>
      </c>
      <c r="U239" s="39" cm="1">
        <f t="array" ref="U239">ktot_2*N239</f>
        <v>5.3550599972967253E-2</v>
      </c>
      <c r="V239" s="139">
        <f t="shared" si="27"/>
        <v>28.788060189811855</v>
      </c>
    </row>
    <row r="240" spans="13:22">
      <c r="M240" s="38">
        <f t="shared" si="32"/>
        <v>22.200000000000045</v>
      </c>
      <c r="N240" s="39">
        <f t="shared" si="28"/>
        <v>2.6673945560272408E-3</v>
      </c>
      <c r="O240" s="39">
        <f t="shared" si="29"/>
        <v>2.5846024833912892E-2</v>
      </c>
      <c r="P240" s="39">
        <f t="shared" si="30"/>
        <v>4.8461296563586671E-2</v>
      </c>
      <c r="Q240" s="39">
        <f t="shared" si="31"/>
        <v>0.11949156187661993</v>
      </c>
      <c r="R240" s="40" cm="1">
        <f t="array" ref="R240">(O240/WSchiene_2)*10^6*(1+3*Faktor_Oberbauzustand_2*fPersonenzüge_2)</f>
        <v>0.15722573931134201</v>
      </c>
      <c r="S240" s="40" cm="1">
        <f t="array" ref="S240">(O240/WSchiene_2)*10^6*(1+3*Faktor_Oberbauzustand_2*fGüterzüge_2)</f>
        <v>0.1553390304396059</v>
      </c>
      <c r="T240" s="40" t="e">
        <f t="shared" si="26"/>
        <v>#N/A</v>
      </c>
      <c r="U240" s="39" cm="1">
        <f t="array" ref="U240">ktot_2*N240</f>
        <v>5.3731301278455983E-2</v>
      </c>
      <c r="V240" s="139">
        <f t="shared" si="27"/>
        <v>28.788060189811855</v>
      </c>
    </row>
    <row r="241" spans="13:22">
      <c r="M241" s="38">
        <f t="shared" si="32"/>
        <v>22.300000000000047</v>
      </c>
      <c r="N241" s="39">
        <f t="shared" si="28"/>
        <v>2.6006914699960018E-3</v>
      </c>
      <c r="O241" s="39">
        <f t="shared" si="29"/>
        <v>1.9478462517577601E-2</v>
      </c>
      <c r="P241" s="39">
        <f t="shared" si="30"/>
        <v>3.6522117220458006E-2</v>
      </c>
      <c r="Q241" s="39">
        <f t="shared" si="31"/>
        <v>9.0052993608773002E-2</v>
      </c>
      <c r="R241" s="40" cm="1">
        <f t="array" ref="R241">(O241/WSchiene_2)*10^6*(1+3*Faktor_Oberbauzustand_2*fPersonenzüge_2)</f>
        <v>0.11849078106417502</v>
      </c>
      <c r="S241" s="40" cm="1">
        <f t="array" ref="S241">(O241/WSchiene_2)*10^6*(1+3*Faktor_Oberbauzustand_2*fGüterzüge_2)</f>
        <v>0.1170688916914049</v>
      </c>
      <c r="T241" s="40" t="e">
        <f t="shared" si="26"/>
        <v>#N/A</v>
      </c>
      <c r="U241" s="39" cm="1">
        <f t="array" ref="U241">ktot_2*N241</f>
        <v>5.2387651684642135E-2</v>
      </c>
      <c r="V241" s="139">
        <f t="shared" si="27"/>
        <v>28.788060189811855</v>
      </c>
    </row>
    <row r="242" spans="13:22">
      <c r="M242" s="38">
        <f t="shared" si="32"/>
        <v>22.400000000000048</v>
      </c>
      <c r="N242" s="39">
        <f t="shared" si="28"/>
        <v>2.4769098419639081E-3</v>
      </c>
      <c r="O242" s="39">
        <f t="shared" si="29"/>
        <v>1.3982434381581782E-2</v>
      </c>
      <c r="P242" s="39">
        <f t="shared" si="30"/>
        <v>2.6217064465465838E-2</v>
      </c>
      <c r="Q242" s="39">
        <f t="shared" si="31"/>
        <v>6.4643709577354519E-2</v>
      </c>
      <c r="R242" s="40" cm="1">
        <f t="array" ref="R242">(O242/WSchiene_2)*10^6*(1+3*Faktor_Oberbauzustand_2*fPersonenzüge_2)</f>
        <v>8.5057512601782265E-2</v>
      </c>
      <c r="S242" s="40" cm="1">
        <f t="array" ref="S242">(O242/WSchiene_2)*10^6*(1+3*Faktor_Oberbauzustand_2*fGüterzüge_2)</f>
        <v>8.4036822450560877E-2</v>
      </c>
      <c r="T242" s="40" t="e">
        <f t="shared" si="26"/>
        <v>#N/A</v>
      </c>
      <c r="U242" s="39" cm="1">
        <f t="array" ref="U242">ktot_2*N242</f>
        <v>4.9894226805483659E-2</v>
      </c>
      <c r="V242" s="139">
        <f t="shared" si="27"/>
        <v>28.788060189811855</v>
      </c>
    </row>
    <row r="243" spans="13:22">
      <c r="M243" s="38">
        <f t="shared" si="32"/>
        <v>22.50000000000005</v>
      </c>
      <c r="N243" s="39">
        <f t="shared" si="28"/>
        <v>2.3121050837345931E-3</v>
      </c>
      <c r="O243" s="39">
        <f t="shared" si="29"/>
        <v>9.3168323647869686E-3</v>
      </c>
      <c r="P243" s="39">
        <f t="shared" si="30"/>
        <v>1.7469060683975565E-2</v>
      </c>
      <c r="Q243" s="39">
        <f t="shared" si="31"/>
        <v>4.3073658644415022E-2</v>
      </c>
      <c r="R243" s="40" cm="1">
        <f t="array" ref="R243">(O243/WSchiene_2)*10^6*(1+3*Faktor_Oberbauzustand_2*fPersonenzüge_2)</f>
        <v>5.6675866637388189E-2</v>
      </c>
      <c r="S243" s="40" cm="1">
        <f t="array" ref="S243">(O243/WSchiene_2)*10^6*(1+3*Faktor_Oberbauzustand_2*fGüterzüge_2)</f>
        <v>5.599575623773953E-2</v>
      </c>
      <c r="T243" s="40" t="e">
        <f t="shared" si="26"/>
        <v>#N/A</v>
      </c>
      <c r="U243" s="39" cm="1">
        <f t="array" ref="U243">ktot_2*N243</f>
        <v>4.6574442675110711E-2</v>
      </c>
      <c r="V243" s="139">
        <f t="shared" si="27"/>
        <v>28.788060189811855</v>
      </c>
    </row>
    <row r="244" spans="13:22">
      <c r="M244" s="38">
        <f t="shared" si="32"/>
        <v>22.600000000000051</v>
      </c>
      <c r="N244" s="39">
        <f t="shared" si="28"/>
        <v>2.1199115820431406E-3</v>
      </c>
      <c r="O244" s="39">
        <f t="shared" si="29"/>
        <v>5.42670796145039E-3</v>
      </c>
      <c r="P244" s="39">
        <f t="shared" si="30"/>
        <v>1.0175077427719481E-2</v>
      </c>
      <c r="Q244" s="39">
        <f t="shared" si="31"/>
        <v>2.5088802410773881E-2</v>
      </c>
      <c r="R244" s="40" cm="1">
        <f t="array" ref="R244">(O244/WSchiene_2)*10^6*(1+3*Faktor_Oberbauzustand_2*fPersonenzüge_2)</f>
        <v>3.3011582119439317E-2</v>
      </c>
      <c r="S244" s="40" cm="1">
        <f t="array" ref="S244">(O244/WSchiene_2)*10^6*(1+3*Faktor_Oberbauzustand_2*fGüterzüge_2)</f>
        <v>3.2615443134006043E-2</v>
      </c>
      <c r="T244" s="40" t="e">
        <f t="shared" si="26"/>
        <v>#N/A</v>
      </c>
      <c r="U244" s="39" cm="1">
        <f t="array" ref="U244">ktot_2*N244</f>
        <v>4.2702946829169801E-2</v>
      </c>
      <c r="V244" s="139">
        <f t="shared" si="27"/>
        <v>28.788060189811855</v>
      </c>
    </row>
    <row r="245" spans="13:22">
      <c r="M245" s="38">
        <f t="shared" si="32"/>
        <v>22.700000000000053</v>
      </c>
      <c r="N245" s="39">
        <f t="shared" si="28"/>
        <v>1.9117020035575266E-3</v>
      </c>
      <c r="O245" s="39">
        <f t="shared" si="29"/>
        <v>2.2478541557986479E-3</v>
      </c>
      <c r="P245" s="39">
        <f t="shared" si="30"/>
        <v>4.2147265421224652E-3</v>
      </c>
      <c r="Q245" s="39">
        <f t="shared" si="31"/>
        <v>1.0392298454917466E-2</v>
      </c>
      <c r="R245" s="40" cm="1">
        <f t="array" ref="R245">(O245/WSchiene_2)*10^6*(1+3*Faktor_Oberbauzustand_2*fPersonenzüge_2)</f>
        <v>1.3674076914365087E-2</v>
      </c>
      <c r="S245" s="40" cm="1">
        <f t="array" ref="S245">(O245/WSchiene_2)*10^6*(1+3*Faktor_Oberbauzustand_2*fGüterzüge_2)</f>
        <v>1.3509987991392707E-2</v>
      </c>
      <c r="T245" s="40" t="e">
        <f t="shared" si="26"/>
        <v>#N/A</v>
      </c>
      <c r="U245" s="39" cm="1">
        <f t="array" ref="U245">ktot_2*N245</f>
        <v>3.8508827303285677E-2</v>
      </c>
      <c r="V245" s="139">
        <f t="shared" si="27"/>
        <v>28.788060189811855</v>
      </c>
    </row>
    <row r="246" spans="13:22">
      <c r="M246" s="38">
        <f t="shared" si="32"/>
        <v>22.800000000000054</v>
      </c>
      <c r="N246" s="39">
        <f t="shared" si="28"/>
        <v>1.6967738142398528E-3</v>
      </c>
      <c r="O246" s="39">
        <f t="shared" si="29"/>
        <v>-2.8937121011151512E-4</v>
      </c>
      <c r="P246" s="39">
        <f t="shared" si="30"/>
        <v>-5.4257101895909085E-4</v>
      </c>
      <c r="Q246" s="39">
        <f t="shared" si="31"/>
        <v>-1.3378234401826867E-3</v>
      </c>
      <c r="R246" s="40" cm="1">
        <f t="array" ref="R246">(O246/WSchiene_2)*10^6*(1+3*Faktor_Oberbauzustand_2*fPersonenzüge_2)</f>
        <v>-1.7602940002403773E-3</v>
      </c>
      <c r="S246" s="40" cm="1">
        <f t="array" ref="S246">(O246/WSchiene_2)*10^6*(1+3*Faktor_Oberbauzustand_2*fGüterzüge_2)</f>
        <v>-1.7391704722374928E-3</v>
      </c>
      <c r="T246" s="40" t="e">
        <f t="shared" si="26"/>
        <v>#N/A</v>
      </c>
      <c r="U246" s="39" cm="1">
        <f t="array" ref="U246">ktot_2*N246</f>
        <v>3.4179369830499629E-2</v>
      </c>
      <c r="V246" s="139">
        <f t="shared" si="27"/>
        <v>28.788060189811855</v>
      </c>
    </row>
    <row r="247" spans="13:22">
      <c r="M247" s="38">
        <f t="shared" si="32"/>
        <v>22.900000000000055</v>
      </c>
      <c r="N247" s="39">
        <f t="shared" si="28"/>
        <v>1.4825518357555717E-3</v>
      </c>
      <c r="O247" s="39">
        <f t="shared" si="29"/>
        <v>-2.2569183277441809E-3</v>
      </c>
      <c r="P247" s="39">
        <f t="shared" si="30"/>
        <v>-4.2317218645203389E-3</v>
      </c>
      <c r="Q247" s="39">
        <f t="shared" si="31"/>
        <v>-1.0434204011762278E-2</v>
      </c>
      <c r="R247" s="40" cm="1">
        <f t="array" ref="R247">(O247/WSchiene_2)*10^6*(1+3*Faktor_Oberbauzustand_2*fPersonenzüge_2)</f>
        <v>-1.3729215804950366E-2</v>
      </c>
      <c r="S247" s="40" cm="1">
        <f t="array" ref="S247">(O247/WSchiene_2)*10^6*(1+3*Faktor_Oberbauzustand_2*fGüterzüge_2)</f>
        <v>-1.3564465215290962E-2</v>
      </c>
      <c r="T247" s="40" t="e">
        <f t="shared" si="26"/>
        <v>#N/A</v>
      </c>
      <c r="U247" s="39" cm="1">
        <f t="array" ref="U247">ktot_2*N247</f>
        <v>2.9864138084825981E-2</v>
      </c>
      <c r="V247" s="139">
        <f t="shared" si="27"/>
        <v>28.788060189811855</v>
      </c>
    </row>
    <row r="248" spans="13:22">
      <c r="M248" s="38">
        <f t="shared" si="32"/>
        <v>23.000000000000057</v>
      </c>
      <c r="N248" s="39">
        <f t="shared" si="28"/>
        <v>1.2747976929931941E-3</v>
      </c>
      <c r="O248" s="39">
        <f t="shared" si="29"/>
        <v>-3.7265468241911796E-3</v>
      </c>
      <c r="P248" s="39">
        <f t="shared" si="30"/>
        <v>-6.9872752953584602E-3</v>
      </c>
      <c r="Q248" s="39">
        <f t="shared" si="31"/>
        <v>-1.7228602978230142E-2</v>
      </c>
      <c r="R248" s="40" cm="1">
        <f t="array" ref="R248">(O248/WSchiene_2)*10^6*(1+3*Faktor_Oberbauzustand_2*fPersonenzüge_2)</f>
        <v>-2.2669214445039661E-2</v>
      </c>
      <c r="S248" s="40" cm="1">
        <f t="array" ref="S248">(O248/WSchiene_2)*10^6*(1+3*Faktor_Oberbauzustand_2*fGüterzüge_2)</f>
        <v>-2.2397183871699186E-2</v>
      </c>
      <c r="T248" s="40" t="e">
        <f t="shared" si="26"/>
        <v>#N/A</v>
      </c>
      <c r="U248" s="39" cm="1">
        <f t="array" ref="U248">ktot_2*N248</f>
        <v>2.5679192737543557E-2</v>
      </c>
      <c r="V248" s="139">
        <f t="shared" si="27"/>
        <v>28.788060189811855</v>
      </c>
    </row>
    <row r="249" spans="13:22">
      <c r="M249" s="38">
        <f t="shared" si="32"/>
        <v>23.100000000000058</v>
      </c>
      <c r="N249" s="39">
        <f t="shared" si="28"/>
        <v>1.0778188410908397E-3</v>
      </c>
      <c r="O249" s="39">
        <f t="shared" si="29"/>
        <v>-4.7678855617022571E-3</v>
      </c>
      <c r="P249" s="39">
        <f t="shared" si="30"/>
        <v>-8.9397854281917325E-3</v>
      </c>
      <c r="Q249" s="39">
        <f t="shared" si="31"/>
        <v>-2.2042929087851396E-2</v>
      </c>
      <c r="R249" s="40" cm="1">
        <f t="array" ref="R249">(O249/WSchiene_2)*10^6*(1+3*Faktor_Oberbauzustand_2*fPersonenzüge_2)</f>
        <v>-2.9003854062962364E-2</v>
      </c>
      <c r="S249" s="40" cm="1">
        <f t="array" ref="S249">(O249/WSchiene_2)*10^6*(1+3*Faktor_Oberbauzustand_2*fGüterzüge_2)</f>
        <v>-2.8655807814206815E-2</v>
      </c>
      <c r="T249" s="40" t="e">
        <f t="shared" si="26"/>
        <v>#N/A</v>
      </c>
      <c r="U249" s="39" cm="1">
        <f t="array" ref="U249">ktot_2*N249</f>
        <v>2.1711302043182525E-2</v>
      </c>
      <c r="V249" s="139">
        <f t="shared" si="27"/>
        <v>28.788060189811855</v>
      </c>
    </row>
    <row r="250" spans="13:22">
      <c r="M250" s="38">
        <f t="shared" si="32"/>
        <v>23.20000000000006</v>
      </c>
      <c r="N250" s="39">
        <f t="shared" si="28"/>
        <v>8.9467149060588446E-4</v>
      </c>
      <c r="O250" s="39">
        <f t="shared" si="29"/>
        <v>-5.4469808168696211E-3</v>
      </c>
      <c r="P250" s="39">
        <f t="shared" si="30"/>
        <v>-1.021308903163054E-2</v>
      </c>
      <c r="Q250" s="39">
        <f t="shared" si="31"/>
        <v>-2.5182528048403242E-2</v>
      </c>
      <c r="R250" s="40" cm="1">
        <f t="array" ref="R250">(O250/WSchiene_2)*10^6*(1+3*Faktor_Oberbauzustand_2*fPersonenzüge_2)</f>
        <v>-3.3134905326846376E-2</v>
      </c>
      <c r="S250" s="40" cm="1">
        <f t="array" ref="S250">(O250/WSchiene_2)*10^6*(1+3*Faktor_Oberbauzustand_2*fGüterzüge_2)</f>
        <v>-3.2737286462924217E-2</v>
      </c>
      <c r="T250" s="40" t="e">
        <f t="shared" si="26"/>
        <v>#N/A</v>
      </c>
      <c r="U250" s="39" cm="1">
        <f t="array" ref="U250">ktot_2*N250</f>
        <v>1.8022029511294821E-2</v>
      </c>
      <c r="V250" s="139">
        <f t="shared" si="27"/>
        <v>28.788060189811855</v>
      </c>
    </row>
    <row r="251" spans="13:22">
      <c r="M251" s="38">
        <f t="shared" si="32"/>
        <v>23.300000000000061</v>
      </c>
      <c r="N251" s="39">
        <f t="shared" si="28"/>
        <v>7.2735317575534683E-4</v>
      </c>
      <c r="O251" s="39">
        <f t="shared" si="29"/>
        <v>-5.8252648303718452E-3</v>
      </c>
      <c r="P251" s="39">
        <f t="shared" si="30"/>
        <v>-1.0922371556947209E-2</v>
      </c>
      <c r="Q251" s="39">
        <f t="shared" si="31"/>
        <v>-2.6931413917576724E-2</v>
      </c>
      <c r="R251" s="40" cm="1">
        <f t="array" ref="R251">(O251/WSchiene_2)*10^6*(1+3*Faktor_Oberbauzustand_2*fPersonenzüge_2)</f>
        <v>-3.5436070944179901E-2</v>
      </c>
      <c r="S251" s="40" cm="1">
        <f t="array" ref="S251">(O251/WSchiene_2)*10^6*(1+3*Faktor_Oberbauzustand_2*fGüterzüge_2)</f>
        <v>-3.5010838092849744E-2</v>
      </c>
      <c r="T251" s="40" t="e">
        <f t="shared" si="26"/>
        <v>#N/A</v>
      </c>
      <c r="U251" s="39" cm="1">
        <f t="array" ref="U251">ktot_2*N251</f>
        <v>1.4651612950938767E-2</v>
      </c>
      <c r="V251" s="139">
        <f t="shared" si="27"/>
        <v>28.788060189811855</v>
      </c>
    </row>
    <row r="252" spans="13:22">
      <c r="M252" s="38">
        <f t="shared" si="32"/>
        <v>23.400000000000063</v>
      </c>
      <c r="N252" s="39">
        <f t="shared" si="28"/>
        <v>5.7698193874551281E-4</v>
      </c>
      <c r="O252" s="39">
        <f t="shared" si="29"/>
        <v>-5.958880160958688E-3</v>
      </c>
      <c r="P252" s="39">
        <f t="shared" si="30"/>
        <v>-1.1172900301797538E-2</v>
      </c>
      <c r="Q252" s="39">
        <f t="shared" si="31"/>
        <v>-2.7549145450571834E-2</v>
      </c>
      <c r="R252" s="40" cm="1">
        <f t="array" ref="R252">(O252/WSchiene_2)*10^6*(1+3*Faktor_Oberbauzustand_2*fPersonenzüge_2)</f>
        <v>-3.6248875592857679E-2</v>
      </c>
      <c r="S252" s="40" cm="1">
        <f t="array" ref="S252">(O252/WSchiene_2)*10^6*(1+3*Faktor_Oberbauzustand_2*fGüterzüge_2)</f>
        <v>-3.5813889085743386E-2</v>
      </c>
      <c r="T252" s="40" t="e">
        <f t="shared" si="26"/>
        <v>#N/A</v>
      </c>
      <c r="U252" s="39" cm="1">
        <f t="array" ref="U252">ktot_2*N252</f>
        <v>1.1622573913150842E-2</v>
      </c>
      <c r="V252" s="139">
        <f t="shared" si="27"/>
        <v>28.788060189811855</v>
      </c>
    </row>
    <row r="253" spans="13:22">
      <c r="M253" s="38">
        <f t="shared" si="32"/>
        <v>23.500000000000064</v>
      </c>
      <c r="N253" s="39">
        <f t="shared" si="28"/>
        <v>4.4396014305008759E-4</v>
      </c>
      <c r="O253" s="39">
        <f t="shared" si="29"/>
        <v>-5.8982997416522388E-3</v>
      </c>
      <c r="P253" s="39">
        <f t="shared" si="30"/>
        <v>-1.105931201559795E-2</v>
      </c>
      <c r="Q253" s="39">
        <f t="shared" si="31"/>
        <v>-2.7269069540694583E-2</v>
      </c>
      <c r="R253" s="40" cm="1">
        <f t="array" ref="R253">(O253/WSchiene_2)*10^6*(1+3*Faktor_Oberbauzustand_2*fPersonenzüge_2)</f>
        <v>-3.5880354658808664E-2</v>
      </c>
      <c r="S253" s="40" cm="1">
        <f t="array" ref="S253">(O253/WSchiene_2)*10^6*(1+3*Faktor_Oberbauzustand_2*fGüterzüge_2)</f>
        <v>-3.5449790402902956E-2</v>
      </c>
      <c r="T253" s="40" t="e">
        <f t="shared" si="26"/>
        <v>#N/A</v>
      </c>
      <c r="U253" s="39" cm="1">
        <f t="array" ref="U253">ktot_2*N253</f>
        <v>8.9430175029595639E-3</v>
      </c>
      <c r="V253" s="139">
        <f t="shared" si="27"/>
        <v>28.788060189811855</v>
      </c>
    </row>
    <row r="254" spans="13:22">
      <c r="M254" s="38">
        <f t="shared" si="32"/>
        <v>23.600000000000065</v>
      </c>
      <c r="N254" s="39">
        <f t="shared" si="28"/>
        <v>3.2812179303535062E-4</v>
      </c>
      <c r="O254" s="39">
        <f t="shared" si="29"/>
        <v>-5.6881876724801305E-3</v>
      </c>
      <c r="P254" s="39">
        <f t="shared" si="30"/>
        <v>-1.0665351885900246E-2</v>
      </c>
      <c r="Q254" s="39">
        <f t="shared" si="31"/>
        <v>-2.629767763513699E-2</v>
      </c>
      <c r="R254" s="40" cm="1">
        <f t="array" ref="R254">(O254/WSchiene_2)*10^6*(1+3*Faktor_Oberbauzustand_2*fPersonenzüge_2)</f>
        <v>-3.4602207414653939E-2</v>
      </c>
      <c r="S254" s="40" cm="1">
        <f t="array" ref="S254">(O254/WSchiene_2)*10^6*(1+3*Faktor_Oberbauzustand_2*fGüterzüge_2)</f>
        <v>-3.4186980925678088E-2</v>
      </c>
      <c r="T254" s="40" t="e">
        <f t="shared" si="26"/>
        <v>#N/A</v>
      </c>
      <c r="U254" s="39" cm="1">
        <f t="array" ref="U254">ktot_2*N254</f>
        <v>6.6095999475487988E-3</v>
      </c>
      <c r="V254" s="139">
        <f t="shared" si="27"/>
        <v>28.788060189811855</v>
      </c>
    </row>
    <row r="255" spans="13:22">
      <c r="M255" s="38">
        <f t="shared" si="32"/>
        <v>23.700000000000067</v>
      </c>
      <c r="N255" s="39">
        <f t="shared" si="28"/>
        <v>2.2886294149274556E-4</v>
      </c>
      <c r="O255" s="39">
        <f t="shared" si="29"/>
        <v>-5.3674513017765001E-3</v>
      </c>
      <c r="P255" s="39">
        <f t="shared" si="30"/>
        <v>-1.0063971190830934E-2</v>
      </c>
      <c r="Q255" s="39">
        <f t="shared" si="31"/>
        <v>-2.4814846517690708E-2</v>
      </c>
      <c r="R255" s="40" cm="1">
        <f t="array" ref="R255">(O255/WSchiene_2)*10^6*(1+3*Faktor_Oberbauzustand_2*fPersonenzüge_2)</f>
        <v>-3.2651113839066721E-2</v>
      </c>
      <c r="S255" s="40" cm="1">
        <f t="array" ref="S255">(O255/WSchiene_2)*10^6*(1+3*Faktor_Oberbauzustand_2*fGüterzüge_2)</f>
        <v>-3.2259300472997923E-2</v>
      </c>
      <c r="T255" s="40" t="e">
        <f t="shared" si="26"/>
        <v>#N/A</v>
      </c>
      <c r="U255" s="39" cm="1">
        <f t="array" ref="U255">ktot_2*N255</f>
        <v>4.6101554916327765E-3</v>
      </c>
      <c r="V255" s="139">
        <f t="shared" si="27"/>
        <v>28.788060189811855</v>
      </c>
    </row>
    <row r="256" spans="13:22">
      <c r="M256" s="38">
        <f t="shared" si="32"/>
        <v>23.800000000000068</v>
      </c>
      <c r="N256" s="39">
        <f t="shared" si="28"/>
        <v>1.4525532647549397E-4</v>
      </c>
      <c r="O256" s="39">
        <f t="shared" si="29"/>
        <v>-4.9694408103262465E-3</v>
      </c>
      <c r="P256" s="39">
        <f t="shared" si="30"/>
        <v>-9.3177015193617128E-3</v>
      </c>
      <c r="Q256" s="39">
        <f t="shared" si="31"/>
        <v>-2.2974761027860592E-2</v>
      </c>
      <c r="R256" s="40" cm="1">
        <f t="array" ref="R256">(O256/WSchiene_2)*10^6*(1+3*Faktor_Oberbauzustand_2*fPersonenzüge_2)</f>
        <v>-3.0229948720869201E-2</v>
      </c>
      <c r="S256" s="40" cm="1">
        <f t="array" ref="S256">(O256/WSchiene_2)*10^6*(1+3*Faktor_Oberbauzustand_2*fGüterzüge_2)</f>
        <v>-2.986718933621877E-2</v>
      </c>
      <c r="T256" s="40" t="e">
        <f t="shared" si="26"/>
        <v>#N/A</v>
      </c>
      <c r="U256" s="39" cm="1">
        <f t="array" ref="U256">ktot_2*N256</f>
        <v>2.9259854682988804E-3</v>
      </c>
      <c r="V256" s="139">
        <f t="shared" si="27"/>
        <v>28.788060189811855</v>
      </c>
    </row>
    <row r="257" spans="13:22">
      <c r="M257" s="38">
        <f t="shared" si="32"/>
        <v>23.90000000000007</v>
      </c>
      <c r="N257" s="39">
        <f t="shared" si="28"/>
        <v>7.6143810830599731E-5</v>
      </c>
      <c r="O257" s="39">
        <f t="shared" si="29"/>
        <v>-4.5222581309742041E-3</v>
      </c>
      <c r="P257" s="39">
        <f t="shared" si="30"/>
        <v>-8.4792339955766325E-3</v>
      </c>
      <c r="Q257" s="39">
        <f t="shared" si="31"/>
        <v>-2.0907342260629697E-2</v>
      </c>
      <c r="R257" s="40" cm="1">
        <f t="array" ref="R257">(O257/WSchiene_2)*10^6*(1+3*Faktor_Oberbauzustand_2*fPersonenzüge_2)</f>
        <v>-2.7509660869249605E-2</v>
      </c>
      <c r="S257" s="40" cm="1">
        <f t="array" ref="S257">(O257/WSchiene_2)*10^6*(1+3*Faktor_Oberbauzustand_2*fGüterzüge_2)</f>
        <v>-2.7179544938818606E-2</v>
      </c>
      <c r="T257" s="40" t="e">
        <f t="shared" si="26"/>
        <v>#N/A</v>
      </c>
      <c r="U257" s="39" cm="1">
        <f t="array" ref="U257">ktot_2*N257</f>
        <v>1.5338210955645854E-3</v>
      </c>
      <c r="V257" s="139">
        <f t="shared" si="27"/>
        <v>28.788060189811855</v>
      </c>
    </row>
    <row r="258" spans="13:22">
      <c r="M258" s="38">
        <f t="shared" si="32"/>
        <v>24.000000000000071</v>
      </c>
      <c r="N258" s="39">
        <f t="shared" si="28"/>
        <v>2.0228518338551619E-5</v>
      </c>
      <c r="O258" s="39">
        <f t="shared" si="29"/>
        <v>-4.0491424652800813E-3</v>
      </c>
      <c r="P258" s="39">
        <f t="shared" si="30"/>
        <v>-7.5921421224001522E-3</v>
      </c>
      <c r="Q258" s="39">
        <f t="shared" si="31"/>
        <v>-1.8720029890337872E-2</v>
      </c>
      <c r="R258" s="40" cm="1">
        <f t="array" ref="R258">(O258/WSchiene_2)*10^6*(1+3*Faktor_Oberbauzustand_2*fPersonenzüge_2)</f>
        <v>-2.4631618276760359E-2</v>
      </c>
      <c r="S258" s="40" cm="1">
        <f t="array" ref="S258">(O258/WSchiene_2)*10^6*(1+3*Faktor_Oberbauzustand_2*fGüterzüge_2)</f>
        <v>-2.4336038857439235E-2</v>
      </c>
      <c r="T258" s="40" t="e">
        <f t="shared" si="26"/>
        <v>#N/A</v>
      </c>
      <c r="U258" s="39" cm="1">
        <f t="array" ref="U258">ktot_2*N258</f>
        <v>4.0747800538526284E-4</v>
      </c>
      <c r="V258" s="139">
        <f t="shared" si="27"/>
        <v>28.788060189811855</v>
      </c>
    </row>
    <row r="259" spans="13:22">
      <c r="M259" s="38">
        <f t="shared" si="32"/>
        <v>24.100000000000072</v>
      </c>
      <c r="N259" s="39">
        <f t="shared" si="28"/>
        <v>-2.3867214756896003E-5</v>
      </c>
      <c r="O259" s="39">
        <f t="shared" si="29"/>
        <v>-3.5689047903225113E-3</v>
      </c>
      <c r="P259" s="39">
        <f t="shared" si="30"/>
        <v>-6.6916964818547094E-3</v>
      </c>
      <c r="Q259" s="39">
        <f t="shared" si="31"/>
        <v>-1.6499790986234449E-2</v>
      </c>
      <c r="R259" s="40" cm="1">
        <f t="array" ref="R259">(O259/WSchiene_2)*10^6*(1+3*Faktor_Oberbauzustand_2*fPersonenzüge_2)</f>
        <v>-2.1710251297676907E-2</v>
      </c>
      <c r="S259" s="40" cm="1">
        <f t="array" ref="S259">(O259/WSchiene_2)*10^6*(1+3*Faktor_Oberbauzustand_2*fGüterzüge_2)</f>
        <v>-2.1449728282104785E-2</v>
      </c>
      <c r="T259" s="40" t="e">
        <f t="shared" si="26"/>
        <v>#N/A</v>
      </c>
      <c r="U259" s="39" cm="1">
        <f t="array" ref="U259">ktot_2*N259</f>
        <v>-4.8077495842624527E-4</v>
      </c>
      <c r="V259" s="139">
        <f t="shared" si="27"/>
        <v>28.788060189811855</v>
      </c>
    </row>
    <row r="260" spans="13:22">
      <c r="M260" s="38">
        <f t="shared" si="32"/>
        <v>24.200000000000074</v>
      </c>
      <c r="N260" s="39">
        <f t="shared" si="28"/>
        <v>-5.7541809864326158E-5</v>
      </c>
      <c r="O260" s="39">
        <f t="shared" si="29"/>
        <v>-3.0963885069257777E-3</v>
      </c>
      <c r="P260" s="39">
        <f t="shared" si="30"/>
        <v>-5.8057284504858322E-3</v>
      </c>
      <c r="Q260" s="39">
        <f t="shared" si="31"/>
        <v>-1.4315249685278676E-2</v>
      </c>
      <c r="R260" s="40" cm="1">
        <f t="array" ref="R260">(O260/WSchiene_2)*10^6*(1+3*Faktor_Oberbauzustand_2*fPersonenzüge_2)</f>
        <v>-1.8835854849050891E-2</v>
      </c>
      <c r="S260" s="40" cm="1">
        <f t="array" ref="S260">(O260/WSchiene_2)*10^6*(1+3*Faktor_Oberbauzustand_2*fGüterzüge_2)</f>
        <v>-1.860982459086228E-2</v>
      </c>
      <c r="T260" s="40" t="e">
        <f t="shared" si="26"/>
        <v>#N/A</v>
      </c>
      <c r="U260" s="39" cm="1">
        <f t="array" ref="U260">ktot_2*N260</f>
        <v>-1.1591072325395284E-3</v>
      </c>
      <c r="V260" s="139">
        <f t="shared" si="27"/>
        <v>28.788060189811855</v>
      </c>
    </row>
    <row r="261" spans="13:22">
      <c r="M261" s="38">
        <f t="shared" si="32"/>
        <v>24.300000000000075</v>
      </c>
      <c r="N261" s="39">
        <f t="shared" si="28"/>
        <v>-8.2171997467424463E-5</v>
      </c>
      <c r="O261" s="39">
        <f t="shared" si="29"/>
        <v>-2.6429377166068226E-3</v>
      </c>
      <c r="P261" s="39">
        <f t="shared" si="30"/>
        <v>-4.9555082186377919E-3</v>
      </c>
      <c r="Q261" s="39">
        <f t="shared" si="31"/>
        <v>-1.2218852134104589E-2</v>
      </c>
      <c r="R261" s="40" cm="1">
        <f t="array" ref="R261">(O261/WSchiene_2)*10^6*(1+3*Faktor_Oberbauzustand_2*fPersonenzüge_2)</f>
        <v>-1.6077437018558672E-2</v>
      </c>
      <c r="S261" s="40" cm="1">
        <f t="array" ref="S261">(O261/WSchiene_2)*10^6*(1+3*Faktor_Oberbauzustand_2*fGüterzüge_2)</f>
        <v>-1.5884507774335966E-2</v>
      </c>
      <c r="T261" s="40" t="e">
        <f t="shared" si="26"/>
        <v>#N/A</v>
      </c>
      <c r="U261" s="39" cm="1">
        <f t="array" ref="U261">ktot_2*N261</f>
        <v>-1.6552513172819175E-3</v>
      </c>
      <c r="V261" s="139">
        <f t="shared" si="27"/>
        <v>28.788060189811855</v>
      </c>
    </row>
    <row r="262" spans="13:22">
      <c r="M262" s="38">
        <f t="shared" si="32"/>
        <v>24.400000000000077</v>
      </c>
      <c r="N262" s="39">
        <f t="shared" si="28"/>
        <v>-9.9079586299245892E-5</v>
      </c>
      <c r="O262" s="39">
        <f t="shared" si="29"/>
        <v>-2.2168585020870355E-3</v>
      </c>
      <c r="P262" s="39">
        <f t="shared" si="30"/>
        <v>-4.1566096914131918E-3</v>
      </c>
      <c r="Q262" s="39">
        <f t="shared" si="31"/>
        <v>-1.0248999085007099E-2</v>
      </c>
      <c r="R262" s="40" cm="1">
        <f t="array" ref="R262">(O262/WSchiene_2)*10^6*(1+3*Faktor_Oberbauzustand_2*fPersonenzüge_2)</f>
        <v>-1.3485525111851446E-2</v>
      </c>
      <c r="S262" s="40" cm="1">
        <f t="array" ref="S262">(O262/WSchiene_2)*10^6*(1+3*Faktor_Oberbauzustand_2*fGüterzüge_2)</f>
        <v>-1.3323698810509229E-2</v>
      </c>
      <c r="T262" s="40" t="e">
        <f t="shared" si="26"/>
        <v>#N/A</v>
      </c>
      <c r="U262" s="39" cm="1">
        <f t="array" ref="U262">ktot_2*N262</f>
        <v>-1.9958333835390766E-3</v>
      </c>
      <c r="V262" s="139">
        <f t="shared" si="27"/>
        <v>28.788060189811855</v>
      </c>
    </row>
    <row r="263" spans="13:22">
      <c r="M263" s="38">
        <f t="shared" si="32"/>
        <v>24.500000000000078</v>
      </c>
      <c r="N263" s="39">
        <f t="shared" si="28"/>
        <v>-1.095071063033522E-4</v>
      </c>
      <c r="O263" s="39">
        <f t="shared" si="29"/>
        <v>-1.8238620171708718E-3</v>
      </c>
      <c r="P263" s="39">
        <f t="shared" si="30"/>
        <v>-3.4197412821953847E-3</v>
      </c>
      <c r="Q263" s="39">
        <f t="shared" si="31"/>
        <v>-8.4320943928380583E-3</v>
      </c>
      <c r="R263" s="40" cm="1">
        <f t="array" ref="R263">(O263/WSchiene_2)*10^6*(1+3*Faktor_Oberbauzustand_2*fPersonenzüge_2)</f>
        <v>-1.1094861043207973E-2</v>
      </c>
      <c r="S263" s="40" cm="1">
        <f t="array" ref="S263">(O263/WSchiene_2)*10^6*(1+3*Faktor_Oberbauzustand_2*fGüterzüge_2)</f>
        <v>-1.0961722710689476E-2</v>
      </c>
      <c r="T263" s="40" t="e">
        <f t="shared" si="26"/>
        <v>#N/A</v>
      </c>
      <c r="U263" s="39" cm="1">
        <f t="array" ref="U263">ktot_2*N263</f>
        <v>-2.2058826309073539E-3</v>
      </c>
      <c r="V263" s="139">
        <f t="shared" si="27"/>
        <v>28.788060189811855</v>
      </c>
    </row>
    <row r="264" spans="13:22">
      <c r="M264" s="38">
        <f t="shared" si="32"/>
        <v>24.60000000000008</v>
      </c>
      <c r="N264" s="39">
        <f t="shared" si="28"/>
        <v>-1.1460103379879797E-4</v>
      </c>
      <c r="O264" s="39">
        <f t="shared" si="29"/>
        <v>-1.4674811724585456E-3</v>
      </c>
      <c r="P264" s="39">
        <f t="shared" si="30"/>
        <v>-2.7515271983597732E-3</v>
      </c>
      <c r="Q264" s="39">
        <f t="shared" si="31"/>
        <v>-6.7844714399377974E-3</v>
      </c>
      <c r="R264" s="40" cm="1">
        <f t="array" ref="R264">(O264/WSchiene_2)*10^6*(1+3*Faktor_Oberbauzustand_2*fPersonenzüge_2)</f>
        <v>-8.9269361051813132E-3</v>
      </c>
      <c r="S264" s="40" cm="1">
        <f t="array" ref="S264">(O264/WSchiene_2)*10^6*(1+3*Faktor_Oberbauzustand_2*fGüterzüge_2)</f>
        <v>-8.8198128719191374E-3</v>
      </c>
      <c r="T264" s="40" t="e">
        <f t="shared" si="26"/>
        <v>#N/A</v>
      </c>
      <c r="U264" s="39" cm="1">
        <f t="array" ref="U264">ktot_2*N264</f>
        <v>-2.3084933797858607E-3</v>
      </c>
      <c r="V264" s="139">
        <f t="shared" si="27"/>
        <v>28.788060189811855</v>
      </c>
    </row>
    <row r="265" spans="13:22">
      <c r="M265" s="38">
        <f t="shared" si="32"/>
        <v>24.700000000000081</v>
      </c>
      <c r="N265" s="39">
        <f t="shared" si="28"/>
        <v>-1.1540138373190441E-4</v>
      </c>
      <c r="O265" s="39">
        <f t="shared" si="29"/>
        <v>-1.1494552510754161E-3</v>
      </c>
      <c r="P265" s="39">
        <f t="shared" si="30"/>
        <v>-2.1552285957664053E-3</v>
      </c>
      <c r="Q265" s="39">
        <f t="shared" si="31"/>
        <v>-5.3141712948470456E-3</v>
      </c>
      <c r="R265" s="40" cm="1">
        <f t="array" ref="R265">(O265/WSchiene_2)*10^6*(1+3*Faktor_Oberbauzustand_2*fPersonenzüge_2)</f>
        <v>-6.9923306511145344E-3</v>
      </c>
      <c r="S265" s="40" cm="1">
        <f t="array" ref="S265">(O265/WSchiene_2)*10^6*(1+3*Faktor_Oberbauzustand_2*fGüterzüge_2)</f>
        <v>-6.9084226833011596E-3</v>
      </c>
      <c r="T265" s="40" t="e">
        <f t="shared" si="26"/>
        <v>#N/A</v>
      </c>
      <c r="U265" s="39" cm="1">
        <f t="array" ref="U265">ktot_2*N265</f>
        <v>-2.3246154204066465E-3</v>
      </c>
      <c r="V265" s="139">
        <f t="shared" si="27"/>
        <v>28.788060189811855</v>
      </c>
    </row>
    <row r="266" spans="13:22">
      <c r="M266" s="38">
        <f t="shared" si="32"/>
        <v>24.800000000000082</v>
      </c>
      <c r="N266" s="39">
        <f t="shared" si="28"/>
        <v>-1.1283654700396415E-4</v>
      </c>
      <c r="O266" s="39">
        <f t="shared" si="29"/>
        <v>-8.7007892882994193E-4</v>
      </c>
      <c r="P266" s="39">
        <f t="shared" si="30"/>
        <v>-1.6313979915561412E-3</v>
      </c>
      <c r="Q266" s="39">
        <f t="shared" si="31"/>
        <v>-4.0225563052701894E-3</v>
      </c>
      <c r="R266" s="40" cm="1">
        <f t="array" ref="R266">(O266/WSchiene_2)*10^6*(1+3*Faktor_Oberbauzustand_2*fPersonenzüge_2)</f>
        <v>-5.2928372437765657E-3</v>
      </c>
      <c r="S266" s="40" cm="1">
        <f t="array" ref="S266">(O266/WSchiene_2)*10^6*(1+3*Faktor_Oberbauzustand_2*fGüterzüge_2)</f>
        <v>-5.2293231968512464E-3</v>
      </c>
      <c r="T266" s="40" t="e">
        <f t="shared" ref="T266:T329" si="33">IF(N266=MAX($N$8:$N$338),N266,#N/A)</f>
        <v>#N/A</v>
      </c>
      <c r="U266" s="39" cm="1">
        <f t="array" ref="U266">ktot_2*N266</f>
        <v>-2.2729500173084781E-3</v>
      </c>
      <c r="V266" s="139">
        <f t="shared" ref="V266:V329" si="34">MAX($U$8:$U$338)</f>
        <v>28.788060189811855</v>
      </c>
    </row>
    <row r="267" spans="13:22">
      <c r="M267" s="38">
        <f t="shared" si="32"/>
        <v>24.900000000000084</v>
      </c>
      <c r="N267" s="39">
        <f t="shared" si="28"/>
        <v>-1.0772235435459932E-4</v>
      </c>
      <c r="O267" s="39">
        <f t="shared" si="29"/>
        <v>-6.2851393703872692E-4</v>
      </c>
      <c r="P267" s="39">
        <f t="shared" si="30"/>
        <v>-1.1784636319476128E-3</v>
      </c>
      <c r="Q267" s="39">
        <f t="shared" si="31"/>
        <v>-2.9057509802992458E-3</v>
      </c>
      <c r="R267" s="40" cm="1">
        <f t="array" ref="R267">(O267/WSchiene_2)*10^6*(1+3*Faktor_Oberbauzustand_2*fPersonenzüge_2)</f>
        <v>-3.8233565530253239E-3</v>
      </c>
      <c r="S267" s="40" cm="1">
        <f t="array" ref="S267">(O267/WSchiene_2)*10^6*(1+3*Faktor_Oberbauzustand_2*fGüterzüge_2)</f>
        <v>-3.7774762743890194E-3</v>
      </c>
      <c r="T267" s="40" t="e">
        <f t="shared" si="33"/>
        <v>#N/A</v>
      </c>
      <c r="U267" s="39" cm="1">
        <f t="array" ref="U267">ktot_2*N267</f>
        <v>-2.1699310524469929E-3</v>
      </c>
      <c r="V267" s="139">
        <f t="shared" si="34"/>
        <v>28.788060189811855</v>
      </c>
    </row>
    <row r="268" spans="13:22">
      <c r="M268" s="38">
        <f t="shared" si="32"/>
        <v>25.000000000000085</v>
      </c>
      <c r="N268" s="39">
        <f t="shared" si="28"/>
        <v>-1.0076445699761155E-4</v>
      </c>
      <c r="O268" s="39">
        <f t="shared" si="29"/>
        <v>-4.2306302828187819E-4</v>
      </c>
      <c r="P268" s="39">
        <f t="shared" si="30"/>
        <v>-7.932431780285214E-4</v>
      </c>
      <c r="Q268" s="39">
        <f t="shared" si="31"/>
        <v>-1.9559085912245868E-3</v>
      </c>
      <c r="R268" s="40" cm="1">
        <f t="array" ref="R268">(O268/WSchiene_2)*10^6*(1+3*Faktor_Oberbauzustand_2*fPersonenzüge_2)</f>
        <v>-2.573563935821825E-3</v>
      </c>
      <c r="S268" s="40" cm="1">
        <f t="array" ref="S268">(O268/WSchiene_2)*10^6*(1+3*Faktor_Oberbauzustand_2*fGüterzüge_2)</f>
        <v>-2.5426811685919631E-3</v>
      </c>
      <c r="T268" s="40" t="e">
        <f t="shared" si="33"/>
        <v>#N/A</v>
      </c>
      <c r="U268" s="39" cm="1">
        <f t="array" ref="U268">ktot_2*N268</f>
        <v>-2.0297729801032837E-3</v>
      </c>
      <c r="V268" s="139">
        <f t="shared" si="34"/>
        <v>28.788060189811855</v>
      </c>
    </row>
    <row r="269" spans="13:22">
      <c r="M269" s="38">
        <f t="shared" si="32"/>
        <v>25.100000000000087</v>
      </c>
      <c r="N269" s="39">
        <f t="shared" si="28"/>
        <v>-9.2563223989432878E-5</v>
      </c>
      <c r="O269" s="39">
        <f t="shared" si="29"/>
        <v>-2.5140702195787962E-4</v>
      </c>
      <c r="P269" s="39">
        <f t="shared" si="30"/>
        <v>-4.713881661710242E-4</v>
      </c>
      <c r="Q269" s="39">
        <f t="shared" si="31"/>
        <v>-1.1623070825607011E-3</v>
      </c>
      <c r="R269" s="40" cm="1">
        <f t="array" ref="R269">(O269/WSchiene_2)*10^6*(1+3*Faktor_Oberbauzustand_2*fPersonenzüge_2)</f>
        <v>-1.5293514244219752E-3</v>
      </c>
      <c r="S269" s="40" cm="1">
        <f t="array" ref="S269">(O269/WSchiene_2)*10^6*(1+3*Faktor_Oberbauzustand_2*fGüterzüge_2)</f>
        <v>-1.5109992073289115E-3</v>
      </c>
      <c r="T269" s="40" t="e">
        <f t="shared" si="33"/>
        <v>#N/A</v>
      </c>
      <c r="U269" s="39" cm="1">
        <f t="array" ref="U269">ktot_2*N269</f>
        <v>-1.8645694781985714E-3</v>
      </c>
      <c r="V269" s="139">
        <f t="shared" si="34"/>
        <v>28.788060189811855</v>
      </c>
    </row>
    <row r="270" spans="13:22">
      <c r="M270" s="38">
        <f t="shared" si="32"/>
        <v>25.200000000000088</v>
      </c>
      <c r="N270" s="39">
        <f t="shared" si="28"/>
        <v>-8.3620463890879624E-5</v>
      </c>
      <c r="O270" s="39">
        <f t="shared" si="29"/>
        <v>-1.1080655446057539E-4</v>
      </c>
      <c r="P270" s="39">
        <f t="shared" si="30"/>
        <v>-2.0776228961357889E-4</v>
      </c>
      <c r="Q270" s="39">
        <f t="shared" si="31"/>
        <v>-5.1228180518065366E-4</v>
      </c>
      <c r="R270" s="40" cm="1">
        <f t="array" ref="R270">(O270/WSchiene_2)*10^6*(1+3*Faktor_Oberbauzustand_2*fPersonenzüge_2)</f>
        <v>-6.7405500681664958E-4</v>
      </c>
      <c r="S270" s="40" cm="1">
        <f t="array" ref="S270">(O270/WSchiene_2)*10^6*(1+3*Faktor_Oberbauzustand_2*fGüterzüge_2)</f>
        <v>-6.6596634673484975E-4</v>
      </c>
      <c r="T270" s="40" t="e">
        <f t="shared" si="33"/>
        <v>#N/A</v>
      </c>
      <c r="U270" s="39" cm="1">
        <f t="array" ref="U270">ktot_2*N270</f>
        <v>-1.6844288476980821E-3</v>
      </c>
      <c r="V270" s="139">
        <f t="shared" si="34"/>
        <v>28.788060189811855</v>
      </c>
    </row>
    <row r="271" spans="13:22">
      <c r="M271" s="38">
        <f t="shared" si="32"/>
        <v>25.30000000000009</v>
      </c>
      <c r="N271" s="39">
        <f t="shared" si="28"/>
        <v>-7.4347381176497103E-5</v>
      </c>
      <c r="O271" s="39">
        <f t="shared" si="29"/>
        <v>1.7292258498073617E-6</v>
      </c>
      <c r="P271" s="39">
        <f t="shared" si="30"/>
        <v>3.2422984683888032E-6</v>
      </c>
      <c r="Q271" s="39">
        <f t="shared" si="31"/>
        <v>7.994571658841246E-6</v>
      </c>
      <c r="R271" s="40" cm="1">
        <f t="array" ref="R271">(O271/WSchiene_2)*10^6*(1+3*Faktor_Oberbauzustand_2*fPersonenzüge_2)</f>
        <v>1.051917323531743E-5</v>
      </c>
      <c r="S271" s="40" cm="1">
        <f t="array" ref="S271">(O271/WSchiene_2)*10^6*(1+3*Faktor_Oberbauzustand_2*fGüterzüge_2)</f>
        <v>1.0392943156493621E-5</v>
      </c>
      <c r="T271" s="40" t="e">
        <f t="shared" si="33"/>
        <v>#N/A</v>
      </c>
      <c r="U271" s="39" cm="1">
        <f t="array" ref="U271">ktot_2*N271</f>
        <v>-1.4976342844488344E-3</v>
      </c>
      <c r="V271" s="139">
        <f t="shared" si="34"/>
        <v>28.788060189811855</v>
      </c>
    </row>
    <row r="272" spans="13:22">
      <c r="M272" s="38">
        <f t="shared" si="32"/>
        <v>25.400000000000091</v>
      </c>
      <c r="N272" s="39">
        <f t="shared" ref="N272:N335" si="35">(1/(ESchiene_1*ISchiene_1))*((Achslast_2_2*10^3/2)/(8*(1/Lelastisch_1)^3)*EXP(-(1/Lelastisch_1)*ABS(M272-$D$32)*10^3)*(COS(ABS(M272-$D$32)*10^3/Lelastisch_1)+SIN(ABS(M272-$D$32)*10^3/Lelastisch_1))+(Achslast_1_2*10^3/2)/(8*(1/Lelastisch_1)^3)*EXP(-(1/Lelastisch_1)*ABS(M272-$D$31)*10^3)*(COS(ABS(M272-$D$31)*10^3/Lelastisch_1)+SIN(ABS(M272-$D$31)*10^3/Lelastisch_1)))</f>
        <v>-6.5073274247482842E-5</v>
      </c>
      <c r="O272" s="39">
        <f t="shared" ref="O272:O338" si="36">((Achslast_2_2*10^3/2)/(4*(1/Lelastisch_2))*EXP(-(1/Lelastisch_2)*ABS(M272-$D$32)*10^3)*(COS(ABS(M272-$D$32)*10^3/Lelastisch_2)-SIN(ABS(M272-$D$32)*10^3/Lelastisch_2))+(Achslast_1_2*10^3/2)/(4*(1/Lelastisch_2))*EXP(-(1/Lelastisch_2)*ABS(M272-$D$31)*10^3)*(COS(ABS(M272-$D$31)*10^3/Lelastisch_2)-SIN(ABS(M272-$D$31)*10^3/Lelastisch_2)))*10^-6</f>
        <v>8.9304361470276397E-5</v>
      </c>
      <c r="P272" s="39">
        <f t="shared" ref="P272:P338" si="37">((Achslast_2_2*10^3*kd_2*kq_2/2)/(4*(1/Lelastisch_2))*EXP(-(1/Lelastisch_2)*ABS(M272-$D$32)*10^3)*(COS(ABS(M272-$D$32)*10^3/Lelastisch_2)-SIN(ABS(M272-$D$32)*10^3/Lelastisch_2))+(Achslast_1_2*10^3*kd_2*kq_2/2)/(4*(1/Lelastisch_2))*EXP(-(1/Lelastisch_2)*ABS(M272-$D$31)*10^3)*(COS(ABS(M272-$D$31)*10^3/Lelastisch_2)-SIN(ABS(M272-$D$31)*10^3/Lelastisch_2)))*10^-6</f>
        <v>1.6744567775676825E-4</v>
      </c>
      <c r="Q272" s="39">
        <f t="shared" ref="Q272:Q338" si="38">O272/WSchiene_1*10^6</f>
        <v>4.1287268363511976E-4</v>
      </c>
      <c r="R272" s="40" cm="1">
        <f t="array" ref="R272">(O272/WSchiene_2)*10^6*(1+3*Faktor_Oberbauzustand_2*fPersonenzüge_2)</f>
        <v>5.4325353109884182E-4</v>
      </c>
      <c r="S272" s="40" cm="1">
        <f t="array" ref="S272">(O272/WSchiene_2)*10^6*(1+3*Faktor_Oberbauzustand_2*fGüterzüge_2)</f>
        <v>5.3673448872565573E-4</v>
      </c>
      <c r="T272" s="40" t="e">
        <f t="shared" si="33"/>
        <v>#N/A</v>
      </c>
      <c r="U272" s="39" cm="1">
        <f t="array" ref="U272">ktot_2*N272</f>
        <v>-1.3108190896867766E-3</v>
      </c>
      <c r="V272" s="139">
        <f t="shared" si="34"/>
        <v>28.788060189811855</v>
      </c>
    </row>
    <row r="273" spans="13:22">
      <c r="M273" s="38">
        <f t="shared" ref="M273:M336" si="39">MIN(M272+Dx,LSchiene)</f>
        <v>25.500000000000092</v>
      </c>
      <c r="N273" s="39">
        <f t="shared" si="35"/>
        <v>-5.6054570588017775E-5</v>
      </c>
      <c r="O273" s="39">
        <f t="shared" si="36"/>
        <v>1.5502527750212353E-4</v>
      </c>
      <c r="P273" s="39">
        <f t="shared" si="37"/>
        <v>2.9067239531648171E-4</v>
      </c>
      <c r="Q273" s="39">
        <f t="shared" si="38"/>
        <v>7.1671418170191179E-4</v>
      </c>
      <c r="R273" s="40" cm="1">
        <f t="array" ref="R273">(O273/WSchiene_2)*10^6*(1+3*Faktor_Oberbauzustand_2*fPersonenzüge_2)</f>
        <v>9.4304497592356817E-4</v>
      </c>
      <c r="S273" s="40" cm="1">
        <f t="array" ref="S273">(O273/WSchiene_2)*10^6*(1+3*Faktor_Oberbauzustand_2*fGüterzüge_2)</f>
        <v>9.3172843621248534E-4</v>
      </c>
      <c r="T273" s="40" t="e">
        <f t="shared" si="33"/>
        <v>#N/A</v>
      </c>
      <c r="U273" s="39" cm="1">
        <f t="array" ref="U273">ktot_2*N273</f>
        <v>-1.1291486718729366E-3</v>
      </c>
      <c r="V273" s="139">
        <f t="shared" si="34"/>
        <v>28.788060189811855</v>
      </c>
    </row>
    <row r="274" spans="13:22">
      <c r="M274" s="38">
        <f t="shared" si="39"/>
        <v>25.600000000000094</v>
      </c>
      <c r="N274" s="39">
        <f t="shared" si="35"/>
        <v>-4.7483874829439134E-5</v>
      </c>
      <c r="O274" s="39">
        <f t="shared" si="36"/>
        <v>2.0191443801631447E-4</v>
      </c>
      <c r="P274" s="39">
        <f t="shared" si="37"/>
        <v>3.7858957128058965E-4</v>
      </c>
      <c r="Q274" s="39">
        <f t="shared" si="38"/>
        <v>9.3349254746331238E-4</v>
      </c>
      <c r="R274" s="40" cm="1">
        <f t="array" ref="R274">(O274/WSchiene_2)*10^6*(1+3*Faktor_Oberbauzustand_2*fPersonenzüge_2)</f>
        <v>1.2282796677148848E-3</v>
      </c>
      <c r="S274" s="40" cm="1">
        <f t="array" ref="S274">(O274/WSchiene_2)*10^6*(1+3*Faktor_Oberbauzustand_2*fGüterzüge_2)</f>
        <v>1.213540311702306E-3</v>
      </c>
      <c r="T274" s="40" t="e">
        <f t="shared" si="33"/>
        <v>#N/A</v>
      </c>
      <c r="U274" s="39" cm="1">
        <f t="array" ref="U274">ktot_2*N274</f>
        <v>-9.5650280854177121E-4</v>
      </c>
      <c r="V274" s="139">
        <f t="shared" si="34"/>
        <v>28.788060189811855</v>
      </c>
    </row>
    <row r="275" spans="13:22">
      <c r="M275" s="38">
        <f t="shared" si="39"/>
        <v>25.700000000000095</v>
      </c>
      <c r="N275" s="39">
        <f t="shared" si="35"/>
        <v>-3.9498776908524635E-5</v>
      </c>
      <c r="O275" s="39">
        <f t="shared" si="36"/>
        <v>2.3284543640047061E-4</v>
      </c>
      <c r="P275" s="39">
        <f t="shared" si="37"/>
        <v>4.3658519325088239E-4</v>
      </c>
      <c r="Q275" s="39">
        <f t="shared" si="38"/>
        <v>1.0764930023137798E-3</v>
      </c>
      <c r="R275" s="40" cm="1">
        <f t="array" ref="R275">(O275/WSchiene_2)*10^6*(1+3*Faktor_Oberbauzustand_2*fPersonenzüge_2)</f>
        <v>1.416438160939184E-3</v>
      </c>
      <c r="S275" s="40" cm="1">
        <f t="array" ref="S275">(O275/WSchiene_2)*10^6*(1+3*Faktor_Oberbauzustand_2*fGüterzüge_2)</f>
        <v>1.3994409030079137E-3</v>
      </c>
      <c r="T275" s="40" t="e">
        <f t="shared" si="33"/>
        <v>#N/A</v>
      </c>
      <c r="U275" s="39" cm="1">
        <f t="array" ref="U275">ktot_2*N275</f>
        <v>-7.9565307554777171E-4</v>
      </c>
      <c r="V275" s="139">
        <f t="shared" si="34"/>
        <v>28.788060189811855</v>
      </c>
    </row>
    <row r="276" spans="13:22">
      <c r="M276" s="38">
        <f t="shared" si="39"/>
        <v>25.800000000000097</v>
      </c>
      <c r="N276" s="39">
        <f t="shared" si="35"/>
        <v>-3.2190230100882984E-5</v>
      </c>
      <c r="O276" s="39">
        <f t="shared" si="36"/>
        <v>2.5049656784307883E-4</v>
      </c>
      <c r="P276" s="39">
        <f t="shared" si="37"/>
        <v>4.6968106470577281E-4</v>
      </c>
      <c r="Q276" s="39">
        <f t="shared" si="38"/>
        <v>1.1580978633521906E-3</v>
      </c>
      <c r="R276" s="40" cm="1">
        <f t="array" ref="R276">(O276/WSchiene_2)*10^6*(1+3*Faktor_Oberbauzustand_2*fPersonenzüge_2)</f>
        <v>1.5238129780949876E-3</v>
      </c>
      <c r="S276" s="40" cm="1">
        <f t="array" ref="S276">(O276/WSchiene_2)*10^6*(1+3*Faktor_Oberbauzustand_2*fGüterzüge_2)</f>
        <v>1.5055272223578478E-3</v>
      </c>
      <c r="T276" s="40" t="e">
        <f t="shared" si="33"/>
        <v>#N/A</v>
      </c>
      <c r="U276" s="39" cm="1">
        <f t="array" ref="U276">ktot_2*N276</f>
        <v>-6.4843161198822744E-4</v>
      </c>
      <c r="V276" s="139">
        <f t="shared" si="34"/>
        <v>28.788060189811855</v>
      </c>
    </row>
    <row r="277" spans="13:22">
      <c r="M277" s="38">
        <f t="shared" si="39"/>
        <v>25.900000000000098</v>
      </c>
      <c r="N277" s="39">
        <f t="shared" si="35"/>
        <v>-2.5610362702992495E-5</v>
      </c>
      <c r="O277" s="39">
        <f t="shared" si="36"/>
        <v>2.5732007500602186E-4</v>
      </c>
      <c r="P277" s="39">
        <f t="shared" si="37"/>
        <v>4.8247514063629097E-4</v>
      </c>
      <c r="Q277" s="39">
        <f t="shared" si="38"/>
        <v>1.1896443597134623E-3</v>
      </c>
      <c r="R277" s="40" cm="1">
        <f t="array" ref="R277">(O277/WSchiene_2)*10^6*(1+3*Faktor_Oberbauzustand_2*fPersonenzüge_2)</f>
        <v>1.5653215259387662E-3</v>
      </c>
      <c r="S277" s="40" cm="1">
        <f t="array" ref="S277">(O277/WSchiene_2)*10^6*(1+3*Faktor_Oberbauzustand_2*fGüterzüge_2)</f>
        <v>1.546537667627501E-3</v>
      </c>
      <c r="T277" s="40" t="e">
        <f t="shared" si="33"/>
        <v>#N/A</v>
      </c>
      <c r="U277" s="39" cm="1">
        <f t="array" ref="U277">ktot_2*N277</f>
        <v>-5.1588847669184826E-4</v>
      </c>
      <c r="V277" s="139">
        <f t="shared" si="34"/>
        <v>28.788060189811855</v>
      </c>
    </row>
    <row r="278" spans="13:22">
      <c r="M278" s="38">
        <f t="shared" si="39"/>
        <v>26.000000000000099</v>
      </c>
      <c r="N278" s="39">
        <f t="shared" si="35"/>
        <v>-1.9779632939555976E-5</v>
      </c>
      <c r="O278" s="39">
        <f t="shared" si="36"/>
        <v>2.5552444679637743E-4</v>
      </c>
      <c r="P278" s="39">
        <f t="shared" si="37"/>
        <v>4.791083377432077E-4</v>
      </c>
      <c r="Q278" s="39">
        <f t="shared" si="38"/>
        <v>1.181342796099757E-3</v>
      </c>
      <c r="R278" s="40" cm="1">
        <f t="array" ref="R278">(O278/WSchiene_2)*10^6*(1+3*Faktor_Oberbauzustand_2*fPersonenzüge_2)</f>
        <v>1.554398415920733E-3</v>
      </c>
      <c r="S278" s="40" cm="1">
        <f t="array" ref="S278">(O278/WSchiene_2)*10^6*(1+3*Faktor_Oberbauzustand_2*fGüterzüge_2)</f>
        <v>1.5357456349296842E-3</v>
      </c>
      <c r="T278" s="40" t="e">
        <f t="shared" si="33"/>
        <v>#N/A</v>
      </c>
      <c r="U278" s="39" cm="1">
        <f t="array" ref="U278">ktot_2*N278</f>
        <v>-3.9843577480919937E-4</v>
      </c>
      <c r="V278" s="139">
        <f t="shared" si="34"/>
        <v>28.788060189811855</v>
      </c>
    </row>
    <row r="279" spans="13:22">
      <c r="M279" s="38">
        <f t="shared" si="39"/>
        <v>26.100000000000101</v>
      </c>
      <c r="N279" s="39">
        <f t="shared" si="35"/>
        <v>-1.4693274834170009E-5</v>
      </c>
      <c r="O279" s="39">
        <f t="shared" si="36"/>
        <v>2.4706736958000284E-4</v>
      </c>
      <c r="P279" s="39">
        <f t="shared" si="37"/>
        <v>4.6325131796250526E-4</v>
      </c>
      <c r="Q279" s="39">
        <f t="shared" si="38"/>
        <v>1.1422439647711645E-3</v>
      </c>
      <c r="R279" s="40" cm="1">
        <f t="array" ref="R279">(O279/WSchiene_2)*10^6*(1+3*Faktor_Oberbauzustand_2*fPersonenzüge_2)</f>
        <v>1.5029525852252165E-3</v>
      </c>
      <c r="S279" s="40" cm="1">
        <f t="array" ref="S279">(O279/WSchiene_2)*10^6*(1+3*Faktor_Oberbauzustand_2*fGüterzüge_2)</f>
        <v>1.4849171542025139E-3</v>
      </c>
      <c r="T279" s="40" t="e">
        <f t="shared" si="33"/>
        <v>#N/A</v>
      </c>
      <c r="U279" s="39" cm="1">
        <f t="array" ref="U279">ktot_2*N279</f>
        <v>-2.9597750175279334E-4</v>
      </c>
      <c r="V279" s="139">
        <f t="shared" si="34"/>
        <v>28.788060189811855</v>
      </c>
    </row>
    <row r="280" spans="13:22">
      <c r="M280" s="38">
        <f t="shared" si="39"/>
        <v>26.200000000000102</v>
      </c>
      <c r="N280" s="39">
        <f t="shared" si="35"/>
        <v>-1.0327013938341007E-5</v>
      </c>
      <c r="O280" s="39">
        <f t="shared" si="36"/>
        <v>2.3365716735285194E-4</v>
      </c>
      <c r="P280" s="39">
        <f t="shared" si="37"/>
        <v>4.3810718878659738E-4</v>
      </c>
      <c r="Q280" s="39">
        <f t="shared" si="38"/>
        <v>1.0802458037579841E-3</v>
      </c>
      <c r="R280" s="40" cm="1">
        <f t="array" ref="R280">(O280/WSchiene_2)*10^6*(1+3*Faktor_Oberbauzustand_2*fPersonenzüge_2)</f>
        <v>1.4213760575762949E-3</v>
      </c>
      <c r="S280" s="40" cm="1">
        <f t="array" ref="S280">(O280/WSchiene_2)*10^6*(1+3*Faktor_Oberbauzustand_2*fGüterzüge_2)</f>
        <v>1.4043195448853794E-3</v>
      </c>
      <c r="T280" s="40" t="e">
        <f t="shared" si="33"/>
        <v>#N/A</v>
      </c>
      <c r="U280" s="39" cm="1">
        <f t="array" ref="U280">ktot_2*N280</f>
        <v>-2.0802467935386614E-4</v>
      </c>
      <c r="V280" s="139">
        <f t="shared" si="34"/>
        <v>28.788060189811855</v>
      </c>
    </row>
    <row r="281" spans="13:22">
      <c r="M281" s="38">
        <f t="shared" si="39"/>
        <v>26.300000000000104</v>
      </c>
      <c r="N281" s="39">
        <f t="shared" si="35"/>
        <v>-6.6420566564825028E-6</v>
      </c>
      <c r="O281" s="39">
        <f t="shared" si="36"/>
        <v>2.1676081182168855E-4</v>
      </c>
      <c r="P281" s="39">
        <f t="shared" si="37"/>
        <v>4.06426522165666E-4</v>
      </c>
      <c r="Q281" s="39">
        <f t="shared" si="38"/>
        <v>1.0021304291340202E-3</v>
      </c>
      <c r="R281" s="40" cm="1">
        <f t="array" ref="R281">(O281/WSchiene_2)*10^6*(1+3*Faktor_Oberbauzustand_2*fPersonenzüge_2)</f>
        <v>1.3185926699131845E-3</v>
      </c>
      <c r="S281" s="40" cm="1">
        <f t="array" ref="S281">(O281/WSchiene_2)*10^6*(1+3*Faktor_Oberbauzustand_2*fGüterzüge_2)</f>
        <v>1.3027695578742263E-3</v>
      </c>
      <c r="T281" s="40" t="e">
        <f t="shared" si="33"/>
        <v>#N/A</v>
      </c>
      <c r="U281" s="39" cm="1">
        <f t="array" ref="U281">ktot_2*N281</f>
        <v>-1.3379585952577413E-4</v>
      </c>
      <c r="V281" s="139">
        <f t="shared" si="34"/>
        <v>28.788060189811855</v>
      </c>
    </row>
    <row r="282" spans="13:22">
      <c r="M282" s="38">
        <f t="shared" si="39"/>
        <v>26.400000000000105</v>
      </c>
      <c r="N282" s="39">
        <f t="shared" si="35"/>
        <v>-3.5893761442915574E-6</v>
      </c>
      <c r="O282" s="39">
        <f t="shared" si="36"/>
        <v>1.9761682668343271E-4</v>
      </c>
      <c r="P282" s="39">
        <f t="shared" si="37"/>
        <v>3.7053155003143637E-4</v>
      </c>
      <c r="Q282" s="39">
        <f t="shared" si="38"/>
        <v>9.1362379419062734E-4</v>
      </c>
      <c r="R282" s="40" cm="1">
        <f t="array" ref="R282">(O282/WSchiene_2)*10^6*(1+3*Faktor_Oberbauzustand_2*fPersonenzüge_2)</f>
        <v>1.2021365713034571E-3</v>
      </c>
      <c r="S282" s="40" cm="1">
        <f t="array" ref="S282">(O282/WSchiene_2)*10^6*(1+3*Faktor_Oberbauzustand_2*fGüterzüge_2)</f>
        <v>1.1877109324478156E-3</v>
      </c>
      <c r="T282" s="40" t="e">
        <f t="shared" si="33"/>
        <v>#N/A</v>
      </c>
      <c r="U282" s="39" cm="1">
        <f t="array" ref="U282">ktot_2*N282</f>
        <v>-7.2303458284730317E-5</v>
      </c>
      <c r="V282" s="139">
        <f t="shared" si="34"/>
        <v>28.788060189811855</v>
      </c>
    </row>
    <row r="283" spans="13:22">
      <c r="M283" s="38">
        <f t="shared" si="39"/>
        <v>26.500000000000107</v>
      </c>
      <c r="N283" s="39">
        <f t="shared" si="35"/>
        <v>-1.1133321036534883E-6</v>
      </c>
      <c r="O283" s="39">
        <f t="shared" si="36"/>
        <v>1.7725164615271978E-4</v>
      </c>
      <c r="P283" s="39">
        <f t="shared" si="37"/>
        <v>3.323468365363496E-4</v>
      </c>
      <c r="Q283" s="39">
        <f t="shared" si="38"/>
        <v>8.1947131832047979E-4</v>
      </c>
      <c r="R283" s="40" cm="1">
        <f t="array" ref="R283">(O283/WSchiene_2)*10^6*(1+3*Faktor_Oberbauzustand_2*fPersonenzüge_2)</f>
        <v>1.0782517346322102E-3</v>
      </c>
      <c r="S283" s="40" cm="1">
        <f t="array" ref="S283">(O283/WSchiene_2)*10^6*(1+3*Faktor_Oberbauzustand_2*fGüterzüge_2)</f>
        <v>1.0653127138166238E-3</v>
      </c>
      <c r="T283" s="40" t="e">
        <f t="shared" si="33"/>
        <v>#N/A</v>
      </c>
      <c r="U283" s="39" cm="1">
        <f t="array" ref="U283">ktot_2*N283</f>
        <v>-2.2426671955677429E-5</v>
      </c>
      <c r="V283" s="139">
        <f t="shared" si="34"/>
        <v>28.788060189811855</v>
      </c>
    </row>
    <row r="284" spans="13:22">
      <c r="M284" s="38">
        <f t="shared" si="39"/>
        <v>26.600000000000108</v>
      </c>
      <c r="N284" s="39">
        <f t="shared" si="35"/>
        <v>8.4532806391254388E-7</v>
      </c>
      <c r="O284" s="39">
        <f t="shared" si="36"/>
        <v>1.5649821113474137E-4</v>
      </c>
      <c r="P284" s="39">
        <f t="shared" si="37"/>
        <v>2.9343414587764001E-4</v>
      </c>
      <c r="Q284" s="39">
        <f t="shared" si="38"/>
        <v>7.235238610020405E-4</v>
      </c>
      <c r="R284" s="40" cm="1">
        <f t="array" ref="R284">(O284/WSchiene_2)*10^6*(1+3*Faktor_Oberbauzustand_2*fPersonenzüge_2)</f>
        <v>9.5200508026584282E-4</v>
      </c>
      <c r="S284" s="40" cm="1">
        <f t="array" ref="S284">(O284/WSchiene_2)*10^6*(1+3*Faktor_Oberbauzustand_2*fGüterzüge_2)</f>
        <v>9.405810193026527E-4</v>
      </c>
      <c r="T284" s="40" t="e">
        <f t="shared" si="33"/>
        <v>#N/A</v>
      </c>
      <c r="U284" s="39" cm="1">
        <f t="array" ref="U284">ktot_2*N284</f>
        <v>1.7028068374281758E-5</v>
      </c>
      <c r="V284" s="139">
        <f t="shared" si="34"/>
        <v>28.788060189811855</v>
      </c>
    </row>
    <row r="285" spans="13:22">
      <c r="M285" s="38">
        <f t="shared" si="39"/>
        <v>26.700000000000109</v>
      </c>
      <c r="N285" s="39">
        <f t="shared" si="35"/>
        <v>2.3470327000627852E-6</v>
      </c>
      <c r="O285" s="39">
        <f t="shared" si="36"/>
        <v>1.3601579395298101E-4</v>
      </c>
      <c r="P285" s="39">
        <f t="shared" si="37"/>
        <v>2.5502961366183943E-4</v>
      </c>
      <c r="Q285" s="39">
        <f t="shared" si="38"/>
        <v>6.2882937564947303E-4</v>
      </c>
      <c r="R285" s="40" cm="1">
        <f t="array" ref="R285">(O285/WSchiene_2)*10^6*(1+3*Faktor_Oberbauzustand_2*fPersonenzüge_2)</f>
        <v>8.2740707322299088E-4</v>
      </c>
      <c r="S285" s="40" cm="1">
        <f t="array" ref="S285">(O285/WSchiene_2)*10^6*(1+3*Faktor_Oberbauzustand_2*fGüterzüge_2)</f>
        <v>8.1747818834431493E-4</v>
      </c>
      <c r="T285" s="40" t="e">
        <f t="shared" si="33"/>
        <v>#N/A</v>
      </c>
      <c r="U285" s="39" cm="1">
        <f t="array" ref="U285">ktot_2*N285</f>
        <v>4.7278015482376066E-5</v>
      </c>
      <c r="V285" s="139">
        <f t="shared" si="34"/>
        <v>28.788060189811855</v>
      </c>
    </row>
    <row r="286" spans="13:22">
      <c r="M286" s="38">
        <f t="shared" si="39"/>
        <v>26.800000000000111</v>
      </c>
      <c r="N286" s="39">
        <f t="shared" si="35"/>
        <v>3.4514562506870117E-6</v>
      </c>
      <c r="O286" s="39">
        <f t="shared" si="36"/>
        <v>1.1631023199192766E-4</v>
      </c>
      <c r="P286" s="39">
        <f t="shared" si="37"/>
        <v>2.1808168498486439E-4</v>
      </c>
      <c r="Q286" s="39">
        <f t="shared" si="38"/>
        <v>5.3772645396175521E-4</v>
      </c>
      <c r="R286" s="40" cm="1">
        <f t="array" ref="R286">(O286/WSchiene_2)*10^6*(1+3*Faktor_Oberbauzustand_2*fPersonenzüge_2)</f>
        <v>7.0753480784441485E-4</v>
      </c>
      <c r="S286" s="40" cm="1">
        <f t="array" ref="S286">(O286/WSchiene_2)*10^6*(1+3*Faktor_Oberbauzustand_2*fGüterzüge_2)</f>
        <v>6.9904439015028178E-4</v>
      </c>
      <c r="T286" s="40" t="e">
        <f t="shared" si="33"/>
        <v>#N/A</v>
      </c>
      <c r="U286" s="39" cm="1">
        <f t="array" ref="U286">ktot_2*N286</f>
        <v>6.9525235865848414E-5</v>
      </c>
      <c r="V286" s="139">
        <f t="shared" si="34"/>
        <v>28.788060189811855</v>
      </c>
    </row>
    <row r="287" spans="13:22">
      <c r="M287" s="38">
        <f t="shared" si="39"/>
        <v>26.900000000000112</v>
      </c>
      <c r="N287" s="39">
        <f t="shared" si="35"/>
        <v>4.2160376320036356E-6</v>
      </c>
      <c r="O287" s="39">
        <f t="shared" si="36"/>
        <v>9.7753920768138517E-5</v>
      </c>
      <c r="P287" s="39">
        <f t="shared" si="37"/>
        <v>1.8328860144025975E-4</v>
      </c>
      <c r="Q287" s="39">
        <f t="shared" si="38"/>
        <v>4.5193675805889284E-4</v>
      </c>
      <c r="R287" s="40" cm="1">
        <f t="array" ref="R287">(O287/WSchiene_2)*10^6*(1+3*Faktor_Oberbauzustand_2*fPersonenzüge_2)</f>
        <v>5.94653629024859E-4</v>
      </c>
      <c r="S287" s="40" cm="1">
        <f t="array" ref="S287">(O287/WSchiene_2)*10^6*(1+3*Faktor_Oberbauzustand_2*fGüterzüge_2)</f>
        <v>5.8751778547656071E-4</v>
      </c>
      <c r="T287" s="40" t="e">
        <f t="shared" si="33"/>
        <v>#N/A</v>
      </c>
      <c r="U287" s="39" cm="1">
        <f t="array" ref="U287">ktot_2*N287</f>
        <v>8.492676409443118E-5</v>
      </c>
      <c r="V287" s="139">
        <f t="shared" si="34"/>
        <v>28.788060189811855</v>
      </c>
    </row>
    <row r="288" spans="13:22">
      <c r="M288" s="38">
        <f t="shared" si="39"/>
        <v>27.000000000000114</v>
      </c>
      <c r="N288" s="39">
        <f t="shared" si="35"/>
        <v>4.6948883542209151E-6</v>
      </c>
      <c r="O288" s="39">
        <f t="shared" si="36"/>
        <v>8.0605067370544803E-5</v>
      </c>
      <c r="P288" s="39">
        <f t="shared" si="37"/>
        <v>1.5113450131977151E-4</v>
      </c>
      <c r="Q288" s="39">
        <f t="shared" si="38"/>
        <v>3.7265403315092372E-4</v>
      </c>
      <c r="R288" s="40" cm="1">
        <f t="array" ref="R288">(O288/WSchiene_2)*10^6*(1+3*Faktor_Oberbauzustand_2*fPersonenzüge_2)</f>
        <v>4.9033425414595226E-4</v>
      </c>
      <c r="S288" s="40" cm="1">
        <f t="array" ref="S288">(O288/WSchiene_2)*10^6*(1+3*Faktor_Oberbauzustand_2*fGüterzüge_2)</f>
        <v>4.8445024309620087E-4</v>
      </c>
      <c r="T288" s="40" t="e">
        <f t="shared" si="33"/>
        <v>#N/A</v>
      </c>
      <c r="U288" s="39" cm="1">
        <f t="array" ref="U288">ktot_2*N288</f>
        <v>9.4572608337730344E-5</v>
      </c>
      <c r="V288" s="139">
        <f t="shared" si="34"/>
        <v>28.788060189811855</v>
      </c>
    </row>
    <row r="289" spans="13:22">
      <c r="M289" s="38">
        <f t="shared" si="39"/>
        <v>27.100000000000115</v>
      </c>
      <c r="N289" s="39">
        <f t="shared" si="35"/>
        <v>4.9380342827634965E-6</v>
      </c>
      <c r="O289" s="39">
        <f t="shared" si="36"/>
        <v>6.5025836123863934E-5</v>
      </c>
      <c r="P289" s="39">
        <f t="shared" si="37"/>
        <v>1.2192344273224487E-4</v>
      </c>
      <c r="Q289" s="39">
        <f t="shared" si="38"/>
        <v>3.0062799872336538E-4</v>
      </c>
      <c r="R289" s="40" cm="1">
        <f t="array" ref="R289">(O289/WSchiene_2)*10^6*(1+3*Faktor_Oberbauzustand_2*fPersonenzüge_2)</f>
        <v>3.9556315621495447E-4</v>
      </c>
      <c r="S289" s="40" cm="1">
        <f t="array" ref="S289">(O289/WSchiene_2)*10^6*(1+3*Faktor_Oberbauzustand_2*fGüterzüge_2)</f>
        <v>3.90816398340375E-4</v>
      </c>
      <c r="T289" s="40" t="e">
        <f t="shared" si="33"/>
        <v>#N/A</v>
      </c>
      <c r="U289" s="39" cm="1">
        <f t="array" ref="U289">ktot_2*N289</f>
        <v>9.947047660083777E-5</v>
      </c>
      <c r="V289" s="139">
        <f t="shared" si="34"/>
        <v>28.788060189811855</v>
      </c>
    </row>
    <row r="290" spans="13:22">
      <c r="M290" s="38">
        <f t="shared" si="39"/>
        <v>27.200000000000117</v>
      </c>
      <c r="N290" s="39">
        <f t="shared" si="35"/>
        <v>4.9909381238961433E-6</v>
      </c>
      <c r="O290" s="39">
        <f t="shared" si="36"/>
        <v>5.1099130430960662E-5</v>
      </c>
      <c r="P290" s="39">
        <f t="shared" si="37"/>
        <v>9.5810869558051262E-5</v>
      </c>
      <c r="Q290" s="39">
        <f t="shared" si="38"/>
        <v>2.362419344935768E-4</v>
      </c>
      <c r="R290" s="40" cm="1">
        <f t="array" ref="R290">(O290/WSchiene_2)*10^6*(1+3*Faktor_Oberbauzustand_2*fPersonenzüge_2)</f>
        <v>3.1084465064944319E-4</v>
      </c>
      <c r="S290" s="40" cm="1">
        <f t="array" ref="S290">(O290/WSchiene_2)*10^6*(1+3*Faktor_Oberbauzustand_2*fGüterzüge_2)</f>
        <v>3.0711451484164988E-4</v>
      </c>
      <c r="T290" s="40" t="e">
        <f t="shared" si="33"/>
        <v>#N/A</v>
      </c>
      <c r="U290" s="39" cm="1">
        <f t="array" ref="U290">ktot_2*N290</f>
        <v>1.0053615779909272E-4</v>
      </c>
      <c r="V290" s="139">
        <f t="shared" si="34"/>
        <v>28.788060189811855</v>
      </c>
    </row>
    <row r="291" spans="13:22">
      <c r="M291" s="38">
        <f t="shared" si="39"/>
        <v>27.300000000000118</v>
      </c>
      <c r="N291" s="39">
        <f t="shared" si="35"/>
        <v>4.8942536802350521E-6</v>
      </c>
      <c r="O291" s="39">
        <f t="shared" si="36"/>
        <v>3.8843849108459441E-5</v>
      </c>
      <c r="P291" s="39">
        <f t="shared" si="37"/>
        <v>7.2832217078361468E-5</v>
      </c>
      <c r="Q291" s="39">
        <f t="shared" si="38"/>
        <v>1.7958321363134276E-4</v>
      </c>
      <c r="R291" s="40" cm="1">
        <f t="array" ref="R291">(O291/WSchiene_2)*10^6*(1+3*Faktor_Oberbauzustand_2*fPersonenzüge_2)</f>
        <v>2.3629370214650364E-4</v>
      </c>
      <c r="S291" s="40" cm="1">
        <f t="array" ref="S291">(O291/WSchiene_2)*10^6*(1+3*Faktor_Oberbauzustand_2*fGüterzüge_2)</f>
        <v>2.3345817772074559E-4</v>
      </c>
      <c r="T291" s="40" t="e">
        <f t="shared" si="33"/>
        <v>#N/A</v>
      </c>
      <c r="U291" s="39" cm="1">
        <f t="array" ref="U291">ktot_2*N291</f>
        <v>9.8588571545099875E-5</v>
      </c>
      <c r="V291" s="139">
        <f t="shared" si="34"/>
        <v>28.788060189811855</v>
      </c>
    </row>
    <row r="292" spans="13:22">
      <c r="M292" s="38">
        <f t="shared" si="39"/>
        <v>27.400000000000119</v>
      </c>
      <c r="N292" s="39">
        <f t="shared" si="35"/>
        <v>4.683767356325772E-6</v>
      </c>
      <c r="O292" s="39">
        <f t="shared" si="36"/>
        <v>2.8228533466168533E-5</v>
      </c>
      <c r="P292" s="39">
        <f t="shared" si="37"/>
        <v>5.2928500249066013E-5</v>
      </c>
      <c r="Q292" s="39">
        <f t="shared" si="38"/>
        <v>1.3050639605255909E-4</v>
      </c>
      <c r="R292" s="40" cm="1">
        <f t="array" ref="R292">(O292/WSchiene_2)*10^6*(1+3*Faktor_Oberbauzustand_2*fPersonenzüge_2)</f>
        <v>1.7171894217441987E-4</v>
      </c>
      <c r="S292" s="40" cm="1">
        <f t="array" ref="S292">(O292/WSchiene_2)*10^6*(1+3*Faktor_Oberbauzustand_2*fGüterzüge_2)</f>
        <v>1.6965831486832683E-4</v>
      </c>
      <c r="T292" s="40" t="e">
        <f t="shared" si="33"/>
        <v>#N/A</v>
      </c>
      <c r="U292" s="39" cm="1">
        <f t="array" ref="U292">ktot_2*N292</f>
        <v>9.4348589852324494E-5</v>
      </c>
      <c r="V292" s="139">
        <f t="shared" si="34"/>
        <v>28.788060189811855</v>
      </c>
    </row>
    <row r="293" spans="13:22">
      <c r="M293" s="38">
        <f t="shared" si="39"/>
        <v>27.500000000000121</v>
      </c>
      <c r="N293" s="39">
        <f t="shared" si="35"/>
        <v>4.3904870772930549E-6</v>
      </c>
      <c r="O293" s="39">
        <f t="shared" si="36"/>
        <v>1.9183384377423021E-5</v>
      </c>
      <c r="P293" s="39">
        <f t="shared" si="37"/>
        <v>3.596884570766816E-5</v>
      </c>
      <c r="Q293" s="39">
        <f t="shared" si="38"/>
        <v>8.8688785841068056E-5</v>
      </c>
      <c r="R293" s="40" cm="1">
        <f t="array" ref="R293">(O293/WSchiene_2)*10^6*(1+3*Faktor_Oberbauzustand_2*fPersonenzüge_2)</f>
        <v>1.1669577084351061E-4</v>
      </c>
      <c r="S293" s="40" cm="1">
        <f t="array" ref="S293">(O293/WSchiene_2)*10^6*(1+3*Faktor_Oberbauzustand_2*fGüterzüge_2)</f>
        <v>1.1529542159338848E-4</v>
      </c>
      <c r="T293" s="40" t="e">
        <f t="shared" si="33"/>
        <v>#N/A</v>
      </c>
      <c r="U293" s="39" cm="1">
        <f t="array" ref="U293">ktot_2*N293</f>
        <v>8.844082828921826E-5</v>
      </c>
      <c r="V293" s="139">
        <f t="shared" si="34"/>
        <v>28.788060189811855</v>
      </c>
    </row>
    <row r="294" spans="13:22">
      <c r="M294" s="38">
        <f t="shared" si="39"/>
        <v>27.600000000000122</v>
      </c>
      <c r="N294" s="39">
        <f t="shared" si="35"/>
        <v>4.0408435302334766E-6</v>
      </c>
      <c r="O294" s="39">
        <f t="shared" si="36"/>
        <v>1.1610678211301412E-5</v>
      </c>
      <c r="P294" s="39">
        <f t="shared" si="37"/>
        <v>2.1770021646190147E-5</v>
      </c>
      <c r="Q294" s="39">
        <f t="shared" si="38"/>
        <v>5.3678586275087434E-5</v>
      </c>
      <c r="R294" s="40" cm="1">
        <f t="array" ref="R294">(O294/WSchiene_2)*10^6*(1+3*Faktor_Oberbauzustand_2*fPersonenzüge_2)</f>
        <v>7.0629718783009787E-5</v>
      </c>
      <c r="S294" s="40" cm="1">
        <f t="array" ref="S294">(O294/WSchiene_2)*10^6*(1+3*Faktor_Oberbauzustand_2*fGüterzüge_2)</f>
        <v>6.9782162157613662E-5</v>
      </c>
      <c r="T294" s="40" t="e">
        <f t="shared" si="33"/>
        <v>#N/A</v>
      </c>
      <c r="U294" s="39" cm="1">
        <f t="array" ref="U294">ktot_2*N294</f>
        <v>8.1397699733423785E-5</v>
      </c>
      <c r="V294" s="139">
        <f t="shared" si="34"/>
        <v>28.788060189811855</v>
      </c>
    </row>
    <row r="295" spans="13:22">
      <c r="M295" s="38">
        <f t="shared" si="39"/>
        <v>27.700000000000124</v>
      </c>
      <c r="N295" s="39">
        <f t="shared" si="35"/>
        <v>3.6569733032685206E-6</v>
      </c>
      <c r="O295" s="39">
        <f t="shared" si="36"/>
        <v>5.3936483383402101E-6</v>
      </c>
      <c r="P295" s="39">
        <f t="shared" si="37"/>
        <v>1.0113090634387893E-5</v>
      </c>
      <c r="Q295" s="39">
        <f t="shared" si="38"/>
        <v>2.4935960879982478E-5</v>
      </c>
      <c r="R295" s="40" cm="1">
        <f t="array" ref="R295">(O295/WSchiene_2)*10^6*(1+3*Faktor_Oberbauzustand_2*fPersonenzüge_2)</f>
        <v>3.2810474842082212E-5</v>
      </c>
      <c r="S295" s="40" cm="1">
        <f t="array" ref="S295">(O295/WSchiene_2)*10^6*(1+3*Faktor_Oberbauzustand_2*fGüterzüge_2)</f>
        <v>3.2416749143977222E-5</v>
      </c>
      <c r="T295" s="40" t="e">
        <f t="shared" si="33"/>
        <v>#N/A</v>
      </c>
      <c r="U295" s="39" cm="1">
        <f t="array" ref="U295">ktot_2*N295</f>
        <v>7.3665117851123249E-5</v>
      </c>
      <c r="V295" s="139">
        <f t="shared" si="34"/>
        <v>28.788060189811855</v>
      </c>
    </row>
    <row r="296" spans="13:22">
      <c r="M296" s="38">
        <f t="shared" si="39"/>
        <v>27.800000000000125</v>
      </c>
      <c r="N296" s="39">
        <f t="shared" si="35"/>
        <v>3.2570579701452949E-6</v>
      </c>
      <c r="O296" s="39">
        <f t="shared" si="36"/>
        <v>4.0392654205336365E-7</v>
      </c>
      <c r="P296" s="39">
        <f t="shared" si="37"/>
        <v>7.5736226635005697E-7</v>
      </c>
      <c r="Q296" s="39">
        <f t="shared" si="38"/>
        <v>1.8674366253045014E-6</v>
      </c>
      <c r="R296" s="40" cm="1">
        <f t="array" ref="R296">(O296/WSchiene_2)*10^6*(1+3*Faktor_Oberbauzustand_2*fPersonenzüge_2)</f>
        <v>2.4571534543480284E-6</v>
      </c>
      <c r="S296" s="40" cm="1">
        <f t="array" ref="S296">(O296/WSchiene_2)*10^6*(1+3*Faktor_Oberbauzustand_2*fGüterzüge_2)</f>
        <v>2.427667612895852E-6</v>
      </c>
      <c r="T296" s="40" t="e">
        <f t="shared" si="33"/>
        <v>#N/A</v>
      </c>
      <c r="U296" s="39" cm="1">
        <f t="array" ref="U296">ktot_2*N296</f>
        <v>6.5609327528928893E-5</v>
      </c>
      <c r="V296" s="139">
        <f t="shared" si="34"/>
        <v>28.788060189811855</v>
      </c>
    </row>
    <row r="297" spans="13:22">
      <c r="M297" s="38">
        <f t="shared" si="39"/>
        <v>27.900000000000126</v>
      </c>
      <c r="N297" s="39">
        <f t="shared" si="35"/>
        <v>2.8556973679656467E-6</v>
      </c>
      <c r="O297" s="39">
        <f t="shared" si="36"/>
        <v>-3.4923424313267801E-6</v>
      </c>
      <c r="P297" s="39">
        <f t="shared" si="37"/>
        <v>-6.5481420587377123E-6</v>
      </c>
      <c r="Q297" s="39">
        <f t="shared" si="38"/>
        <v>-1.6145827236832087E-5</v>
      </c>
      <c r="R297" s="40" cm="1">
        <f t="array" ref="R297">(O297/WSchiene_2)*10^6*(1+3*Faktor_Oberbauzustand_2*fPersonenzüge_2)</f>
        <v>-2.1244509522147485E-5</v>
      </c>
      <c r="S297" s="40" cm="1">
        <f t="array" ref="S297">(O297/WSchiene_2)*10^6*(1+3*Faktor_Oberbauzustand_2*fGüterzüge_2)</f>
        <v>-2.0989575407881714E-5</v>
      </c>
      <c r="T297" s="40" t="e">
        <f t="shared" si="33"/>
        <v>#N/A</v>
      </c>
      <c r="U297" s="39" cm="1">
        <f t="array" ref="U297">ktot_2*N297</f>
        <v>5.7524424083247218E-5</v>
      </c>
      <c r="V297" s="139">
        <f t="shared" si="34"/>
        <v>28.788060189811855</v>
      </c>
    </row>
    <row r="298" spans="13:22">
      <c r="M298" s="38">
        <f t="shared" si="39"/>
        <v>28.000000000000128</v>
      </c>
      <c r="N298" s="39">
        <f t="shared" si="35"/>
        <v>2.4642991865192546E-6</v>
      </c>
      <c r="O298" s="39">
        <f t="shared" si="36"/>
        <v>-6.4295883644990489E-6</v>
      </c>
      <c r="P298" s="39">
        <f t="shared" si="37"/>
        <v>-1.2055478183435718E-5</v>
      </c>
      <c r="Q298" s="39">
        <f t="shared" si="38"/>
        <v>-2.9725327621354824E-5</v>
      </c>
      <c r="R298" s="40" cm="1">
        <f t="array" ref="R298">(O298/WSchiene_2)*10^6*(1+3*Faktor_Oberbauzustand_2*fPersonenzüge_2)</f>
        <v>-3.911227318599319E-5</v>
      </c>
      <c r="S298" s="40" cm="1">
        <f t="array" ref="S298">(O298/WSchiene_2)*10^6*(1+3*Faktor_Oberbauzustand_2*fGüterzüge_2)</f>
        <v>-3.864292590776127E-5</v>
      </c>
      <c r="T298" s="40" t="e">
        <f t="shared" si="33"/>
        <v>#N/A</v>
      </c>
      <c r="U298" s="39" cm="1">
        <f t="array" ref="U298">ktot_2*N298</f>
        <v>4.964020104634562E-5</v>
      </c>
      <c r="V298" s="139">
        <f t="shared" si="34"/>
        <v>28.788060189811855</v>
      </c>
    </row>
    <row r="299" spans="13:22">
      <c r="M299" s="38">
        <f t="shared" si="39"/>
        <v>28.100000000000129</v>
      </c>
      <c r="N299" s="39">
        <f t="shared" si="35"/>
        <v>2.091470495646705E-6</v>
      </c>
      <c r="O299" s="39">
        <f t="shared" si="36"/>
        <v>-8.5389747073002306E-6</v>
      </c>
      <c r="P299" s="39">
        <f t="shared" si="37"/>
        <v>-1.6010577576187934E-5</v>
      </c>
      <c r="Q299" s="39">
        <f t="shared" si="38"/>
        <v>-3.9477460505317759E-5</v>
      </c>
      <c r="R299" s="40" cm="1">
        <f t="array" ref="R299">(O299/WSchiene_2)*10^6*(1+3*Faktor_Oberbauzustand_2*fPersonenzüge_2)</f>
        <v>-5.1944026980681262E-5</v>
      </c>
      <c r="S299" s="40" cm="1">
        <f t="array" ref="S299">(O299/WSchiene_2)*10^6*(1+3*Faktor_Oberbauzustand_2*fGüterzüge_2)</f>
        <v>-5.1320698656913088E-5</v>
      </c>
      <c r="T299" s="40" t="e">
        <f t="shared" si="33"/>
        <v>#N/A</v>
      </c>
      <c r="U299" s="39" cm="1">
        <f t="array" ref="U299">ktot_2*N299</f>
        <v>4.21300369915905E-5</v>
      </c>
      <c r="V299" s="139">
        <f t="shared" si="34"/>
        <v>28.788060189811855</v>
      </c>
    </row>
    <row r="300" spans="13:22">
      <c r="M300" s="38">
        <f t="shared" si="39"/>
        <v>28.200000000000131</v>
      </c>
      <c r="N300" s="39">
        <f t="shared" si="35"/>
        <v>1.7433999655036152E-6</v>
      </c>
      <c r="O300" s="39">
        <f t="shared" si="36"/>
        <v>-9.9454982284562931E-6</v>
      </c>
      <c r="P300" s="39">
        <f t="shared" si="37"/>
        <v>-1.8647809178355549E-5</v>
      </c>
      <c r="Q300" s="39">
        <f t="shared" si="38"/>
        <v>-4.598011201320524E-5</v>
      </c>
      <c r="R300" s="40" cm="1">
        <f t="array" ref="R300">(O300/WSchiene_2)*10^6*(1+3*Faktor_Oberbauzustand_2*fPersonenzüge_2)</f>
        <v>-6.0500147385796371E-5</v>
      </c>
      <c r="S300" s="40" cm="1">
        <f t="array" ref="S300">(O300/WSchiene_2)*10^6*(1+3*Faktor_Oberbauzustand_2*fGüterzüge_2)</f>
        <v>-5.9774145617166817E-5</v>
      </c>
      <c r="T300" s="40" t="e">
        <f t="shared" si="33"/>
        <v>#N/A</v>
      </c>
      <c r="U300" s="39" cm="1">
        <f t="array" ref="U300">ktot_2*N300</f>
        <v>3.5118594878907688E-5</v>
      </c>
      <c r="V300" s="139">
        <f t="shared" si="34"/>
        <v>28.788060189811855</v>
      </c>
    </row>
    <row r="301" spans="13:22">
      <c r="M301" s="38">
        <f t="shared" si="39"/>
        <v>28.300000000000132</v>
      </c>
      <c r="N301" s="39">
        <f t="shared" si="35"/>
        <v>1.4242222811260807E-6</v>
      </c>
      <c r="O301" s="39">
        <f t="shared" si="36"/>
        <v>-1.076590109569893E-5</v>
      </c>
      <c r="P301" s="39">
        <f t="shared" si="37"/>
        <v>-2.0186064554435497E-5</v>
      </c>
      <c r="Q301" s="39">
        <f t="shared" si="38"/>
        <v>-4.9773005527965461E-5</v>
      </c>
      <c r="R301" s="40" cm="1">
        <f t="array" ref="R301">(O301/WSchiene_2)*10^6*(1+3*Faktor_Oberbauzustand_2*fPersonenzüge_2)</f>
        <v>-6.5490796747322982E-5</v>
      </c>
      <c r="S301" s="40" cm="1">
        <f t="array" ref="S301">(O301/WSchiene_2)*10^6*(1+3*Faktor_Oberbauzustand_2*fGüterzüge_2)</f>
        <v>-6.4704907186355099E-5</v>
      </c>
      <c r="T301" s="40" t="e">
        <f t="shared" si="33"/>
        <v>#N/A</v>
      </c>
      <c r="U301" s="39" cm="1">
        <f t="array" ref="U301">ktot_2*N301</f>
        <v>2.8689162726885975E-5</v>
      </c>
      <c r="V301" s="139">
        <f t="shared" si="34"/>
        <v>28.788060189811855</v>
      </c>
    </row>
    <row r="302" spans="13:22">
      <c r="M302" s="38">
        <f t="shared" si="39"/>
        <v>28.400000000000134</v>
      </c>
      <c r="N302" s="39">
        <f t="shared" si="35"/>
        <v>1.1363586259844075E-6</v>
      </c>
      <c r="O302" s="39">
        <f t="shared" si="36"/>
        <v>-1.1107273210582795E-5</v>
      </c>
      <c r="P302" s="39">
        <f t="shared" si="37"/>
        <v>-2.082613726984274E-5</v>
      </c>
      <c r="Q302" s="39">
        <f t="shared" si="38"/>
        <v>-5.1351239993447963E-5</v>
      </c>
      <c r="R302" s="40" cm="1">
        <f t="array" ref="R302">(O302/WSchiene_2)*10^6*(1+3*Faktor_Oberbauzustand_2*fPersonenzüge_2)</f>
        <v>-6.7567421044010487E-5</v>
      </c>
      <c r="S302" s="40" cm="1">
        <f t="array" ref="S302">(O302/WSchiene_2)*10^6*(1+3*Faktor_Oberbauzustand_2*fGüterzüge_2)</f>
        <v>-6.6756611991482348E-5</v>
      </c>
      <c r="T302" s="40" t="e">
        <f t="shared" si="33"/>
        <v>#N/A</v>
      </c>
      <c r="U302" s="39" cm="1">
        <f t="array" ref="U302">ktot_2*N302</f>
        <v>2.2890512224812729E-5</v>
      </c>
      <c r="V302" s="139">
        <f t="shared" si="34"/>
        <v>28.788060189811855</v>
      </c>
    </row>
    <row r="303" spans="13:22">
      <c r="M303" s="38">
        <f t="shared" si="39"/>
        <v>28.500000000000135</v>
      </c>
      <c r="N303" s="39">
        <f t="shared" si="35"/>
        <v>8.8082912632122389E-7</v>
      </c>
      <c r="O303" s="39">
        <f t="shared" si="36"/>
        <v>-1.1066230602273622E-5</v>
      </c>
      <c r="P303" s="39">
        <f t="shared" si="37"/>
        <v>-2.0749182379263039E-5</v>
      </c>
      <c r="Q303" s="39">
        <f t="shared" si="38"/>
        <v>-5.1161491457575692E-5</v>
      </c>
      <c r="R303" s="40" cm="1">
        <f t="array" ref="R303">(O303/WSchiene_2)*10^6*(1+3*Faktor_Oberbauzustand_2*fPersonenzüge_2)</f>
        <v>-6.7317751917862764E-5</v>
      </c>
      <c r="S303" s="40" cm="1">
        <f t="array" ref="S303">(O303/WSchiene_2)*10^6*(1+3*Faktor_Oberbauzustand_2*fGüterzüge_2)</f>
        <v>-6.6509938894848407E-5</v>
      </c>
      <c r="T303" s="40" t="e">
        <f t="shared" si="33"/>
        <v>#N/A</v>
      </c>
      <c r="U303" s="39" cm="1">
        <f t="array" ref="U303">ktot_2*N303</f>
        <v>1.7743192530052349E-5</v>
      </c>
      <c r="V303" s="139">
        <f t="shared" si="34"/>
        <v>28.788060189811855</v>
      </c>
    </row>
    <row r="304" spans="13:22">
      <c r="M304" s="38">
        <f t="shared" si="39"/>
        <v>28.600000000000136</v>
      </c>
      <c r="N304" s="39">
        <f t="shared" si="35"/>
        <v>6.5753483212731794E-7</v>
      </c>
      <c r="O304" s="39">
        <f t="shared" si="36"/>
        <v>-1.0728565051077627E-5</v>
      </c>
      <c r="P304" s="39">
        <f t="shared" si="37"/>
        <v>-2.0116059470770548E-5</v>
      </c>
      <c r="Q304" s="39">
        <f t="shared" si="38"/>
        <v>-4.9600393208865587E-5</v>
      </c>
      <c r="R304" s="40" cm="1">
        <f t="array" ref="R304">(O304/WSchiene_2)*10^6*(1+3*Faktor_Oberbauzustand_2*fPersonenzüge_2)</f>
        <v>-6.5263675274823148E-5</v>
      </c>
      <c r="S304" s="40" cm="1">
        <f t="array" ref="S304">(O304/WSchiene_2)*10^6*(1+3*Faktor_Oberbauzustand_2*fGüterzüge_2)</f>
        <v>-6.4480511171525267E-5</v>
      </c>
      <c r="T304" s="40" t="e">
        <f t="shared" si="33"/>
        <v>#N/A</v>
      </c>
      <c r="U304" s="39" cm="1">
        <f t="array" ref="U304">ktot_2*N304</f>
        <v>1.3245210419388396E-5</v>
      </c>
      <c r="V304" s="139">
        <f t="shared" si="34"/>
        <v>28.788060189811855</v>
      </c>
    </row>
    <row r="305" spans="13:22">
      <c r="M305" s="38">
        <f t="shared" si="39"/>
        <v>28.700000000000138</v>
      </c>
      <c r="N305" s="39">
        <f t="shared" si="35"/>
        <v>4.6550818882184434E-7</v>
      </c>
      <c r="O305" s="39">
        <f t="shared" si="36"/>
        <v>-1.0169270301398726E-5</v>
      </c>
      <c r="P305" s="39">
        <f t="shared" si="37"/>
        <v>-1.9067381815122612E-5</v>
      </c>
      <c r="Q305" s="39">
        <f t="shared" si="38"/>
        <v>-4.7014656964395409E-5</v>
      </c>
      <c r="R305" s="40" cm="1">
        <f t="array" ref="R305">(O305/WSchiene_2)*10^6*(1+3*Faktor_Oberbauzustand_2*fPersonenzüge_2)</f>
        <v>-6.1861390742625548E-5</v>
      </c>
      <c r="S305" s="40" cm="1">
        <f t="array" ref="S305">(O305/WSchiene_2)*10^6*(1+3*Faktor_Oberbauzustand_2*fGüterzüge_2)</f>
        <v>-6.1119054053714028E-5</v>
      </c>
      <c r="T305" s="40" t="e">
        <f t="shared" si="33"/>
        <v>#N/A</v>
      </c>
      <c r="U305" s="39" cm="1">
        <f t="array" ref="U305">ktot_2*N305</f>
        <v>9.3770757253204253E-6</v>
      </c>
      <c r="V305" s="139">
        <f t="shared" si="34"/>
        <v>28.788060189811855</v>
      </c>
    </row>
    <row r="306" spans="13:22">
      <c r="M306" s="38">
        <f t="shared" si="39"/>
        <v>28.800000000000139</v>
      </c>
      <c r="N306" s="39">
        <f t="shared" si="35"/>
        <v>3.0313205570580193E-7</v>
      </c>
      <c r="O306" s="39">
        <f t="shared" si="36"/>
        <v>-9.4528607716065567E-6</v>
      </c>
      <c r="P306" s="39">
        <f t="shared" si="37"/>
        <v>-1.7724113946762292E-5</v>
      </c>
      <c r="Q306" s="39">
        <f t="shared" si="38"/>
        <v>-4.3702546331976684E-5</v>
      </c>
      <c r="R306" s="40" cm="1">
        <f t="array" ref="R306">(O306/WSchiene_2)*10^6*(1+3*Faktor_Oberbauzustand_2*fPersonenzüge_2)</f>
        <v>-5.7503350436811427E-5</v>
      </c>
      <c r="S306" s="40" cm="1">
        <f t="array" ref="S306">(O306/WSchiene_2)*10^6*(1+3*Faktor_Oberbauzustand_2*fGüterzüge_2)</f>
        <v>-5.6813310231569688E-5</v>
      </c>
      <c r="T306" s="40" t="e">
        <f t="shared" si="33"/>
        <v>#N/A</v>
      </c>
      <c r="U306" s="39" cm="1">
        <f t="array" ref="U306">ktot_2*N306</f>
        <v>6.1062131867527915E-6</v>
      </c>
      <c r="V306" s="139">
        <f t="shared" si="34"/>
        <v>28.788060189811855</v>
      </c>
    </row>
    <row r="307" spans="13:22">
      <c r="M307" s="38">
        <f t="shared" si="39"/>
        <v>28.900000000000141</v>
      </c>
      <c r="N307" s="39">
        <f t="shared" si="35"/>
        <v>1.6832818375268105E-7</v>
      </c>
      <c r="O307" s="39">
        <f t="shared" si="36"/>
        <v>-8.6339092041392619E-6</v>
      </c>
      <c r="P307" s="39">
        <f t="shared" si="37"/>
        <v>-1.6188579757761118E-5</v>
      </c>
      <c r="Q307" s="39">
        <f t="shared" si="38"/>
        <v>-3.9916362478683593E-5</v>
      </c>
      <c r="R307" s="40" cm="1">
        <f t="array" ref="R307">(O307/WSchiene_2)*10^6*(1+3*Faktor_Oberbauzustand_2*fPersonenzüge_2)</f>
        <v>-5.2521529577215258E-5</v>
      </c>
      <c r="S307" s="40" cm="1">
        <f t="array" ref="S307">(O307/WSchiene_2)*10^6*(1+3*Faktor_Oberbauzustand_2*fGüterzüge_2)</f>
        <v>-5.1891271222288675E-5</v>
      </c>
      <c r="T307" s="40" t="e">
        <f t="shared" si="33"/>
        <v>#N/A</v>
      </c>
      <c r="U307" s="39" cm="1">
        <f t="array" ref="U307">ktot_2*N307</f>
        <v>3.3907590965249902E-6</v>
      </c>
      <c r="V307" s="139">
        <f t="shared" si="34"/>
        <v>28.788060189811855</v>
      </c>
    </row>
    <row r="308" spans="13:22">
      <c r="M308" s="38">
        <f t="shared" si="39"/>
        <v>29.000000000000142</v>
      </c>
      <c r="N308" s="39">
        <f t="shared" si="35"/>
        <v>5.8716706976738852E-8</v>
      </c>
      <c r="O308" s="39">
        <f t="shared" si="36"/>
        <v>-7.7577399346396137E-6</v>
      </c>
      <c r="P308" s="39">
        <f t="shared" si="37"/>
        <v>-1.4545762377449279E-5</v>
      </c>
      <c r="Q308" s="39">
        <f t="shared" si="38"/>
        <v>-3.5865649258620496E-5</v>
      </c>
      <c r="R308" s="40" cm="1">
        <f t="array" ref="R308">(O308/WSchiene_2)*10^6*(1+3*Faktor_Oberbauzustand_2*fPersonenzüge_2)</f>
        <v>-4.7191643761342759E-5</v>
      </c>
      <c r="S308" s="40" cm="1">
        <f t="array" ref="S308">(O308/WSchiene_2)*10^6*(1+3*Faktor_Oberbauzustand_2*fGüterzüge_2)</f>
        <v>-4.6625344036206643E-5</v>
      </c>
      <c r="T308" s="40" t="e">
        <f t="shared" si="33"/>
        <v>#N/A</v>
      </c>
      <c r="U308" s="39" cm="1">
        <f t="array" ref="U308">ktot_2*N308</f>
        <v>1.1827740539985393E-6</v>
      </c>
      <c r="V308" s="139">
        <f t="shared" si="34"/>
        <v>28.788060189811855</v>
      </c>
    </row>
    <row r="309" spans="13:22">
      <c r="M309" s="38">
        <f t="shared" si="39"/>
        <v>29.100000000000144</v>
      </c>
      <c r="N309" s="39">
        <f t="shared" si="35"/>
        <v>-2.8251341693395675E-8</v>
      </c>
      <c r="O309" s="39">
        <f t="shared" si="36"/>
        <v>-6.8612241777690877E-6</v>
      </c>
      <c r="P309" s="39">
        <f t="shared" si="37"/>
        <v>-1.286479533331704E-5</v>
      </c>
      <c r="Q309" s="39">
        <f t="shared" si="38"/>
        <v>-3.1720869985062819E-5</v>
      </c>
      <c r="R309" s="40" cm="1">
        <f t="array" ref="R309">(O309/WSchiene_2)*10^6*(1+3*Faktor_Oberbauzustand_2*fPersonenzüge_2)</f>
        <v>-4.1737986822451083E-5</v>
      </c>
      <c r="S309" s="40" cm="1">
        <f t="array" ref="S309">(O309/WSchiene_2)*10^6*(1+3*Faktor_Oberbauzustand_2*fGüterzüge_2)</f>
        <v>-4.1237130980581665E-5</v>
      </c>
      <c r="T309" s="40" t="e">
        <f t="shared" si="33"/>
        <v>#N/A</v>
      </c>
      <c r="U309" s="39" cm="1">
        <f t="array" ref="U309">ktot_2*N309</f>
        <v>-5.6908766969566587E-7</v>
      </c>
      <c r="V309" s="139">
        <f t="shared" si="34"/>
        <v>28.788060189811855</v>
      </c>
    </row>
    <row r="310" spans="13:22">
      <c r="M310" s="38">
        <f t="shared" si="39"/>
        <v>29.200000000000145</v>
      </c>
      <c r="N310" s="39">
        <f t="shared" si="35"/>
        <v>-9.5186179073540211E-8</v>
      </c>
      <c r="O310" s="39">
        <f t="shared" si="36"/>
        <v>-5.9736327754422188E-6</v>
      </c>
      <c r="P310" s="39">
        <f t="shared" si="37"/>
        <v>-1.1200561453954158E-5</v>
      </c>
      <c r="Q310" s="39">
        <f t="shared" si="38"/>
        <v>-2.7617349863348213E-5</v>
      </c>
      <c r="R310" s="40" cm="1">
        <f t="array" ref="R310">(O310/WSchiene_2)*10^6*(1+3*Faktor_Oberbauzustand_2*fPersonenzüge_2)</f>
        <v>-3.6338618241247649E-5</v>
      </c>
      <c r="S310" s="40" cm="1">
        <f t="array" ref="S310">(O310/WSchiene_2)*10^6*(1+3*Faktor_Oberbauzustand_2*fGüterzüge_2)</f>
        <v>-3.5902554822352675E-5</v>
      </c>
      <c r="T310" s="40" t="e">
        <f t="shared" si="33"/>
        <v>#N/A</v>
      </c>
      <c r="U310" s="39" cm="1">
        <f t="array" ref="U310">ktot_2*N310</f>
        <v>-1.9174056023278541E-6</v>
      </c>
      <c r="V310" s="139">
        <f t="shared" si="34"/>
        <v>28.788060189811855</v>
      </c>
    </row>
    <row r="311" spans="13:22">
      <c r="M311" s="38">
        <f t="shared" si="39"/>
        <v>29.300000000000146</v>
      </c>
      <c r="N311" s="39">
        <f t="shared" si="35"/>
        <v>-1.446736041805851E-7</v>
      </c>
      <c r="O311" s="39">
        <f t="shared" si="36"/>
        <v>-5.1175101291066943E-6</v>
      </c>
      <c r="P311" s="39">
        <f t="shared" si="37"/>
        <v>-9.5953314920750502E-6</v>
      </c>
      <c r="Q311" s="39">
        <f t="shared" si="38"/>
        <v>-2.3659316362028176E-5</v>
      </c>
      <c r="R311" s="40" cm="1">
        <f t="array" ref="R311">(O311/WSchiene_2)*10^6*(1+3*Faktor_Oberbauzustand_2*fPersonenzüge_2)</f>
        <v>-3.1130679423721285E-5</v>
      </c>
      <c r="S311" s="40" cm="1">
        <f t="array" ref="S311">(O311/WSchiene_2)*10^6*(1+3*Faktor_Oberbauzustand_2*fGüterzüge_2)</f>
        <v>-3.0757111270636629E-5</v>
      </c>
      <c r="T311" s="40" t="e">
        <f t="shared" si="33"/>
        <v>#N/A</v>
      </c>
      <c r="U311" s="39" cm="1">
        <f t="array" ref="U311">ktot_2*N311</f>
        <v>-2.9142674058856856E-6</v>
      </c>
      <c r="V311" s="139">
        <f t="shared" si="34"/>
        <v>28.788060189811855</v>
      </c>
    </row>
    <row r="312" spans="13:22">
      <c r="M312" s="38">
        <f t="shared" si="39"/>
        <v>29.400000000000148</v>
      </c>
      <c r="N312" s="39">
        <f t="shared" si="35"/>
        <v>-1.7920897009488484E-7</v>
      </c>
      <c r="O312" s="39">
        <f t="shared" si="36"/>
        <v>-4.3095404836878454E-6</v>
      </c>
      <c r="P312" s="39">
        <f t="shared" si="37"/>
        <v>-8.0803884069147111E-6</v>
      </c>
      <c r="Q312" s="39">
        <f t="shared" si="38"/>
        <v>-1.9923904224169419E-5</v>
      </c>
      <c r="R312" s="40" cm="1">
        <f t="array" ref="R312">(O312/WSchiene_2)*10^6*(1+3*Faktor_Oberbauzustand_2*fPersonenzüge_2)</f>
        <v>-2.6215663452854502E-5</v>
      </c>
      <c r="S312" s="40" cm="1">
        <f t="array" ref="S312">(O312/WSchiene_2)*10^6*(1+3*Faktor_Oberbauzustand_2*fGüterzüge_2)</f>
        <v>-2.5901075491420245E-5</v>
      </c>
      <c r="T312" s="40" t="e">
        <f t="shared" si="33"/>
        <v>#N/A</v>
      </c>
      <c r="U312" s="39" cm="1">
        <f t="array" ref="U312">ktot_2*N312</f>
        <v>-3.6099388229656895E-6</v>
      </c>
      <c r="V312" s="139">
        <f t="shared" si="34"/>
        <v>28.788060189811855</v>
      </c>
    </row>
    <row r="313" spans="13:22">
      <c r="M313" s="38">
        <f t="shared" si="39"/>
        <v>29.500000000000149</v>
      </c>
      <c r="N313" s="39">
        <f t="shared" si="35"/>
        <v>-2.0114827156112042E-7</v>
      </c>
      <c r="O313" s="39">
        <f t="shared" si="36"/>
        <v>-3.5613843249412194E-6</v>
      </c>
      <c r="P313" s="39">
        <f t="shared" si="37"/>
        <v>-6.6775956092647866E-6</v>
      </c>
      <c r="Q313" s="39">
        <f t="shared" si="38"/>
        <v>-1.6465022306709288E-5</v>
      </c>
      <c r="R313" s="40" cm="1">
        <f t="array" ref="R313">(O313/WSchiene_2)*10^6*(1+3*Faktor_Oberbauzustand_2*fPersonenzüge_2)</f>
        <v>-2.1664503035143801E-5</v>
      </c>
      <c r="S313" s="40" cm="1">
        <f t="array" ref="S313">(O313/WSchiene_2)*10^6*(1+3*Faktor_Oberbauzustand_2*fGüterzüge_2)</f>
        <v>-2.1404528998722075E-5</v>
      </c>
      <c r="T313" s="40" t="e">
        <f t="shared" si="33"/>
        <v>#N/A</v>
      </c>
      <c r="U313" s="39" cm="1">
        <f t="array" ref="U313">ktot_2*N313</f>
        <v>-4.0518783981430841E-6</v>
      </c>
      <c r="V313" s="139">
        <f t="shared" si="34"/>
        <v>28.788060189811855</v>
      </c>
    </row>
    <row r="314" spans="13:22">
      <c r="M314" s="38">
        <f t="shared" si="39"/>
        <v>29.600000000000151</v>
      </c>
      <c r="N314" s="39">
        <f t="shared" si="35"/>
        <v>-2.1267391051429001E-7</v>
      </c>
      <c r="O314" s="39">
        <f t="shared" si="36"/>
        <v>-2.8804684006315905E-6</v>
      </c>
      <c r="P314" s="39">
        <f t="shared" si="37"/>
        <v>-5.4008782511842324E-6</v>
      </c>
      <c r="Q314" s="39">
        <f t="shared" si="38"/>
        <v>-1.3317006013091033E-5</v>
      </c>
      <c r="R314" s="40" cm="1">
        <f t="array" ref="R314">(O314/WSchiene_2)*10^6*(1+3*Faktor_Oberbauzustand_2*fPersonenzüge_2)</f>
        <v>-1.7522376333014518E-5</v>
      </c>
      <c r="S314" s="40" cm="1">
        <f t="array" ref="S314">(O314/WSchiene_2)*10^6*(1+3*Faktor_Oberbauzustand_2*fGüterzüge_2)</f>
        <v>-1.7312107817018344E-5</v>
      </c>
      <c r="T314" s="40" t="e">
        <f t="shared" si="33"/>
        <v>#N/A</v>
      </c>
      <c r="U314" s="39" cm="1">
        <f t="array" ref="U314">ktot_2*N314</f>
        <v>-4.284047867642871E-6</v>
      </c>
      <c r="V314" s="139">
        <f t="shared" si="34"/>
        <v>28.788060189811855</v>
      </c>
    </row>
    <row r="315" spans="13:22">
      <c r="M315" s="38">
        <f t="shared" si="39"/>
        <v>29.700000000000152</v>
      </c>
      <c r="N315" s="39">
        <f t="shared" si="35"/>
        <v>-2.1577283591092233E-7</v>
      </c>
      <c r="O315" s="39">
        <f t="shared" si="36"/>
        <v>-2.2707178075366323E-6</v>
      </c>
      <c r="P315" s="39">
        <f t="shared" si="37"/>
        <v>-4.2575958891311854E-6</v>
      </c>
      <c r="Q315" s="39">
        <f t="shared" si="38"/>
        <v>-1.0498001884126825E-5</v>
      </c>
      <c r="R315" s="40" cm="1">
        <f t="array" ref="R315">(O315/WSchiene_2)*10^6*(1+3*Faktor_Oberbauzustand_2*fPersonenzüge_2)</f>
        <v>-1.3813160373851087E-5</v>
      </c>
      <c r="S315" s="40" cm="1">
        <f t="array" ref="S315">(O315/WSchiene_2)*10^6*(1+3*Faktor_Oberbauzustand_2*fGüterzüge_2)</f>
        <v>-1.3647402449364873E-5</v>
      </c>
      <c r="T315" s="40" t="e">
        <f t="shared" si="33"/>
        <v>#N/A</v>
      </c>
      <c r="U315" s="39" cm="1">
        <f t="array" ref="U315">ktot_2*N315</f>
        <v>-4.3464718137927449E-6</v>
      </c>
      <c r="V315" s="139">
        <f t="shared" si="34"/>
        <v>28.788060189811855</v>
      </c>
    </row>
    <row r="316" spans="13:22">
      <c r="M316" s="38">
        <f t="shared" si="39"/>
        <v>29.800000000000153</v>
      </c>
      <c r="N316" s="39">
        <f t="shared" si="35"/>
        <v>-2.1222492236996977E-7</v>
      </c>
      <c r="O316" s="39">
        <f t="shared" si="36"/>
        <v>-1.7332227454070718E-6</v>
      </c>
      <c r="P316" s="39">
        <f t="shared" si="37"/>
        <v>-3.24979264763826E-6</v>
      </c>
      <c r="Q316" s="39">
        <f t="shared" si="38"/>
        <v>-8.0130501405782325E-6</v>
      </c>
      <c r="R316" s="40" cm="1">
        <f t="array" ref="R316">(O316/WSchiene_2)*10^6*(1+3*Faktor_Oberbauzustand_2*fPersonenzüge_2)</f>
        <v>-1.0543487027076622E-5</v>
      </c>
      <c r="S316" s="40" cm="1">
        <f t="array" ref="S316">(O316/WSchiene_2)*10^6*(1+3*Faktor_Oberbauzustand_2*fGüterzüge_2)</f>
        <v>-1.0416965182751703E-5</v>
      </c>
      <c r="T316" s="40" t="e">
        <f t="shared" si="33"/>
        <v>#N/A</v>
      </c>
      <c r="U316" s="39" cm="1">
        <f t="array" ref="U316">ktot_2*N316</f>
        <v>-4.2750035673917465E-6</v>
      </c>
      <c r="V316" s="139">
        <f t="shared" si="34"/>
        <v>28.788060189811855</v>
      </c>
    </row>
    <row r="317" spans="13:22">
      <c r="M317" s="38">
        <f t="shared" si="39"/>
        <v>29.900000000000155</v>
      </c>
      <c r="N317" s="39">
        <f t="shared" si="35"/>
        <v>-2.0359964202718549E-7</v>
      </c>
      <c r="O317" s="39">
        <f t="shared" si="36"/>
        <v>-1.2668359818072441E-6</v>
      </c>
      <c r="P317" s="39">
        <f t="shared" si="37"/>
        <v>-2.3753174658885825E-6</v>
      </c>
      <c r="Q317" s="39">
        <f t="shared" si="38"/>
        <v>-5.8568468876895245E-6</v>
      </c>
      <c r="R317" s="40" cm="1">
        <f t="array" ref="R317">(O317/WSchiene_2)*10^6*(1+3*Faktor_Oberbauzustand_2*fPersonenzüge_2)</f>
        <v>-7.7063774838020057E-6</v>
      </c>
      <c r="S317" s="40" cm="1">
        <f t="array" ref="S317">(O317/WSchiene_2)*10^6*(1+3*Faktor_Oberbauzustand_2*fGüterzüge_2)</f>
        <v>-7.6139009539963822E-6</v>
      </c>
      <c r="T317" s="40" t="e">
        <f t="shared" si="33"/>
        <v>#N/A</v>
      </c>
      <c r="U317" s="39" cm="1">
        <f t="array" ref="U317">ktot_2*N317</f>
        <v>-4.1012581664115726E-6</v>
      </c>
      <c r="V317" s="139">
        <f t="shared" si="34"/>
        <v>28.788060189811855</v>
      </c>
    </row>
    <row r="318" spans="13:22">
      <c r="M318" s="38">
        <f t="shared" si="39"/>
        <v>30.000000000000156</v>
      </c>
      <c r="N318" s="39">
        <f t="shared" si="35"/>
        <v>-1.912592856145745E-7</v>
      </c>
      <c r="O318" s="39">
        <f t="shared" si="36"/>
        <v>-8.6869986168422566E-7</v>
      </c>
      <c r="P318" s="39">
        <f t="shared" si="37"/>
        <v>-1.6288122406579232E-6</v>
      </c>
      <c r="Q318" s="39">
        <f t="shared" si="38"/>
        <v>-4.0161805903107983E-6</v>
      </c>
      <c r="R318" s="40" cm="1">
        <f t="array" ref="R318">(O318/WSchiene_2)*10^6*(1+3*Faktor_Oberbauzustand_2*fPersonenzüge_2)</f>
        <v>-5.2844481451457873E-6</v>
      </c>
      <c r="S318" s="40" cm="1">
        <f t="array" ref="S318">(O318/WSchiene_2)*10^6*(1+3*Faktor_Oberbauzustand_2*fGüterzüge_2)</f>
        <v>-5.2210347674040382E-6</v>
      </c>
      <c r="T318" s="40" t="e">
        <f t="shared" si="33"/>
        <v>#N/A</v>
      </c>
      <c r="U318" s="39" cm="1">
        <f t="array" ref="U318">ktot_2*N318</f>
        <v>-3.8526772405821818E-6</v>
      </c>
      <c r="V318" s="139">
        <f t="shared" si="34"/>
        <v>28.788060189811855</v>
      </c>
    </row>
    <row r="319" spans="13:22">
      <c r="M319" s="38">
        <f t="shared" si="39"/>
        <v>30.100000000000158</v>
      </c>
      <c r="N319" s="39">
        <f t="shared" si="35"/>
        <v>-1.7636719393117539E-7</v>
      </c>
      <c r="O319" s="39">
        <f t="shared" si="36"/>
        <v>-5.3470390002691987E-7</v>
      </c>
      <c r="P319" s="39">
        <f t="shared" si="37"/>
        <v>-1.0025698125504748E-6</v>
      </c>
      <c r="Q319" s="39">
        <f t="shared" si="38"/>
        <v>-2.472047619172075E-6</v>
      </c>
      <c r="R319" s="40" cm="1">
        <f t="array" ref="R319">(O319/WSchiene_2)*10^6*(1+3*Faktor_Oberbauzustand_2*fPersonenzüge_2)</f>
        <v>-3.2526942357527304E-6</v>
      </c>
      <c r="S319" s="40" cm="1">
        <f t="array" ref="S319">(O319/WSchiene_2)*10^6*(1+3*Faktor_Oberbauzustand_2*fGüterzüge_2)</f>
        <v>-3.2136619049236976E-6</v>
      </c>
      <c r="T319" s="40" t="e">
        <f t="shared" si="33"/>
        <v>#N/A</v>
      </c>
      <c r="U319" s="39" cm="1">
        <f t="array" ref="U319">ktot_2*N319</f>
        <v>-3.5526948239955393E-6</v>
      </c>
      <c r="V319" s="139">
        <f t="shared" si="34"/>
        <v>28.788060189811855</v>
      </c>
    </row>
    <row r="320" spans="13:22">
      <c r="M320" s="38">
        <f t="shared" si="39"/>
        <v>30.200000000000159</v>
      </c>
      <c r="N320" s="39">
        <f t="shared" si="35"/>
        <v>-1.5989966312045191E-7</v>
      </c>
      <c r="O320" s="39">
        <f t="shared" si="36"/>
        <v>-2.5987568377558474E-7</v>
      </c>
      <c r="P320" s="39">
        <f t="shared" si="37"/>
        <v>-4.872669070792214E-7</v>
      </c>
      <c r="Q320" s="39">
        <f t="shared" si="38"/>
        <v>-1.2014594719167117E-6</v>
      </c>
      <c r="R320" s="40" cm="1">
        <f t="array" ref="R320">(O320/WSchiene_2)*10^6*(1+3*Faktor_Oberbauzustand_2*fPersonenzüge_2)</f>
        <v>-1.5808677262061996E-6</v>
      </c>
      <c r="S320" s="40" cm="1">
        <f t="array" ref="S320">(O320/WSchiene_2)*10^6*(1+3*Faktor_Oberbauzustand_2*fGüterzüge_2)</f>
        <v>-1.5618973134917252E-6</v>
      </c>
      <c r="T320" s="40" t="e">
        <f t="shared" si="33"/>
        <v>#N/A</v>
      </c>
      <c r="U320" s="39" cm="1">
        <f t="array" ref="U320">ktot_2*N320</f>
        <v>-3.2209771719129491E-6</v>
      </c>
      <c r="V320" s="139">
        <f t="shared" si="34"/>
        <v>28.788060189811855</v>
      </c>
    </row>
    <row r="321" spans="13:22">
      <c r="M321" s="38">
        <f t="shared" si="39"/>
        <v>30.300000000000161</v>
      </c>
      <c r="N321" s="39">
        <f t="shared" si="35"/>
        <v>-1.4266038156883452E-7</v>
      </c>
      <c r="O321" s="39">
        <f t="shared" si="36"/>
        <v>-3.8709047989419422E-8</v>
      </c>
      <c r="P321" s="39">
        <f t="shared" si="37"/>
        <v>-7.2579464980161427E-8</v>
      </c>
      <c r="Q321" s="39">
        <f t="shared" si="38"/>
        <v>-1.7895999995108378E-7</v>
      </c>
      <c r="R321" s="40" cm="1">
        <f t="array" ref="R321">(O321/WSchiene_2)*10^6*(1+3*Faktor_Oberbauzustand_2*fPersonenzüge_2)</f>
        <v>-2.3547368414616289E-7</v>
      </c>
      <c r="S321" s="40" cm="1">
        <f t="array" ref="S321">(O321/WSchiene_2)*10^6*(1+3*Faktor_Oberbauzustand_2*fGüterzüge_2)</f>
        <v>-2.3264799993640893E-7</v>
      </c>
      <c r="T321" s="40" t="e">
        <f t="shared" si="33"/>
        <v>#N/A</v>
      </c>
      <c r="U321" s="39" cm="1">
        <f t="array" ref="U321">ktot_2*N321</f>
        <v>-2.8737135738895368E-6</v>
      </c>
      <c r="V321" s="139">
        <f t="shared" si="34"/>
        <v>28.788060189811855</v>
      </c>
    </row>
    <row r="322" spans="13:22">
      <c r="M322" s="38">
        <f t="shared" si="39"/>
        <v>30.400000000000162</v>
      </c>
      <c r="N322" s="39">
        <f t="shared" si="35"/>
        <v>-1.2529643915696274E-7</v>
      </c>
      <c r="O322" s="39">
        <f t="shared" si="36"/>
        <v>1.3456565366044048E-7</v>
      </c>
      <c r="P322" s="39">
        <f t="shared" si="37"/>
        <v>2.5231060061332588E-7</v>
      </c>
      <c r="Q322" s="39">
        <f t="shared" si="38"/>
        <v>6.2212507471308596E-7</v>
      </c>
      <c r="R322" s="40" cm="1">
        <f t="array" ref="R322">(O322/WSchiene_2)*10^6*(1+3*Faktor_Oberbauzustand_2*fPersonenzüge_2)</f>
        <v>8.1858562462248158E-7</v>
      </c>
      <c r="S322" s="40" cm="1">
        <f t="array" ref="S322">(O322/WSchiene_2)*10^6*(1+3*Faktor_Oberbauzustand_2*fGüterzüge_2)</f>
        <v>8.0876259712701179E-7</v>
      </c>
      <c r="T322" s="40" t="e">
        <f t="shared" si="33"/>
        <v>#N/A</v>
      </c>
      <c r="U322" s="39" cm="1">
        <f t="array" ref="U322">ktot_2*N322</f>
        <v>-2.5239388399620546E-6</v>
      </c>
      <c r="V322" s="139">
        <f t="shared" si="34"/>
        <v>28.788060189811855</v>
      </c>
    </row>
    <row r="323" spans="13:22">
      <c r="M323" s="38">
        <f t="shared" si="39"/>
        <v>30.500000000000163</v>
      </c>
      <c r="N323" s="39">
        <f t="shared" si="35"/>
        <v>-1.083151185186645E-7</v>
      </c>
      <c r="O323" s="39">
        <f t="shared" si="36"/>
        <v>2.6576383139274085E-7</v>
      </c>
      <c r="P323" s="39">
        <f t="shared" si="37"/>
        <v>4.9830718386138906E-7</v>
      </c>
      <c r="Q323" s="39">
        <f t="shared" si="38"/>
        <v>1.2286816060690747E-6</v>
      </c>
      <c r="R323" s="40" cm="1">
        <f t="array" ref="R323">(O323/WSchiene_2)*10^6*(1+3*Faktor_Oberbauzustand_2*fPersonenzüge_2)</f>
        <v>1.6166863237750984E-6</v>
      </c>
      <c r="S323" s="40" cm="1">
        <f t="array" ref="S323">(O323/WSchiene_2)*10^6*(1+3*Faktor_Oberbauzustand_2*fGüterzüge_2)</f>
        <v>1.5972860878897971E-6</v>
      </c>
      <c r="T323" s="40" t="e">
        <f t="shared" si="33"/>
        <v>#N/A</v>
      </c>
      <c r="U323" s="39" cm="1">
        <f t="array" ref="U323">ktot_2*N323</f>
        <v>-2.1818715393968858E-6</v>
      </c>
      <c r="V323" s="139">
        <f t="shared" si="34"/>
        <v>28.788060189811855</v>
      </c>
    </row>
    <row r="324" spans="13:22">
      <c r="M324" s="38">
        <f t="shared" si="39"/>
        <v>30.600000000000165</v>
      </c>
      <c r="N324" s="39">
        <f t="shared" si="35"/>
        <v>-9.2100831323908252E-8</v>
      </c>
      <c r="O324" s="39">
        <f t="shared" si="36"/>
        <v>3.6057587529832885E-7</v>
      </c>
      <c r="P324" s="39">
        <f t="shared" si="37"/>
        <v>6.7607976618436641E-7</v>
      </c>
      <c r="Q324" s="39">
        <f t="shared" si="38"/>
        <v>1.6670174539913493E-6</v>
      </c>
      <c r="R324" s="40" cm="1">
        <f t="array" ref="R324">(O324/WSchiene_2)*10^6*(1+3*Faktor_Oberbauzustand_2*fPersonenzüge_2)</f>
        <v>2.1934440184096703E-6</v>
      </c>
      <c r="S324" s="40" cm="1">
        <f t="array" ref="S324">(O324/WSchiene_2)*10^6*(1+3*Faktor_Oberbauzustand_2*fGüterzüge_2)</f>
        <v>2.1671226901887544E-6</v>
      </c>
      <c r="T324" s="40" t="e">
        <f t="shared" si="33"/>
        <v>#N/A</v>
      </c>
      <c r="U324" s="39" cm="1">
        <f t="array" ref="U324">ktot_2*N324</f>
        <v>-1.8552551607631877E-6</v>
      </c>
      <c r="V324" s="139">
        <f t="shared" si="34"/>
        <v>28.788060189811855</v>
      </c>
    </row>
    <row r="325" spans="13:22">
      <c r="M325" s="38">
        <f t="shared" si="39"/>
        <v>30.700000000000166</v>
      </c>
      <c r="N325" s="39">
        <f t="shared" si="35"/>
        <v>-7.6931699609424387E-8</v>
      </c>
      <c r="O325" s="39">
        <f t="shared" si="36"/>
        <v>4.2443763276653067E-7</v>
      </c>
      <c r="P325" s="39">
        <f t="shared" si="37"/>
        <v>7.9582056143724488E-7</v>
      </c>
      <c r="Q325" s="39">
        <f t="shared" si="38"/>
        <v>1.9622636743713854E-6</v>
      </c>
      <c r="R325" s="40" cm="1">
        <f t="array" ref="R325">(O325/WSchiene_2)*10^6*(1+3*Faktor_Oberbauzustand_2*fPersonenzüge_2)</f>
        <v>2.5819258873307704E-6</v>
      </c>
      <c r="S325" s="40" cm="1">
        <f t="array" ref="S325">(O325/WSchiene_2)*10^6*(1+3*Faktor_Oberbauzustand_2*fGüterzüge_2)</f>
        <v>2.550942776682801E-6</v>
      </c>
      <c r="T325" s="40" t="e">
        <f t="shared" si="33"/>
        <v>#N/A</v>
      </c>
      <c r="U325" s="39" cm="1">
        <f t="array" ref="U325">ktot_2*N325</f>
        <v>-1.5496921219387243E-6</v>
      </c>
      <c r="V325" s="139">
        <f t="shared" si="34"/>
        <v>28.788060189811855</v>
      </c>
    </row>
    <row r="326" spans="13:22">
      <c r="M326" s="38">
        <f t="shared" si="39"/>
        <v>30.800000000000168</v>
      </c>
      <c r="N326" s="39">
        <f t="shared" si="35"/>
        <v>-6.2995402669814151E-8</v>
      </c>
      <c r="O326" s="39">
        <f t="shared" si="36"/>
        <v>4.624365911164678E-7</v>
      </c>
      <c r="P326" s="39">
        <f t="shared" si="37"/>
        <v>8.6706860834337707E-7</v>
      </c>
      <c r="Q326" s="39">
        <f t="shared" si="38"/>
        <v>2.1379407818606925E-6</v>
      </c>
      <c r="R326" s="40" cm="1">
        <f t="array" ref="R326">(O326/WSchiene_2)*10^6*(1+3*Faktor_Oberbauzustand_2*fPersonenzüge_2)</f>
        <v>2.8130799761324904E-6</v>
      </c>
      <c r="S326" s="40" cm="1">
        <f t="array" ref="S326">(O326/WSchiene_2)*10^6*(1+3*Faktor_Oberbauzustand_2*fGüterzüge_2)</f>
        <v>2.7793230164189004E-6</v>
      </c>
      <c r="T326" s="40" t="e">
        <f t="shared" si="33"/>
        <v>#N/A</v>
      </c>
      <c r="U326" s="39" cm="1">
        <f t="array" ref="U326">ktot_2*N326</f>
        <v>-1.2689629857574272E-6</v>
      </c>
      <c r="V326" s="139">
        <f t="shared" si="34"/>
        <v>28.788060189811855</v>
      </c>
    </row>
    <row r="327" spans="13:22">
      <c r="M327" s="38">
        <f t="shared" si="39"/>
        <v>30.900000000000169</v>
      </c>
      <c r="N327" s="39">
        <f t="shared" si="35"/>
        <v>-5.0404014321006393E-8</v>
      </c>
      <c r="O327" s="39">
        <f t="shared" si="36"/>
        <v>4.7924845285000392E-7</v>
      </c>
      <c r="P327" s="39">
        <f t="shared" si="37"/>
        <v>8.9859084909375713E-7</v>
      </c>
      <c r="Q327" s="39">
        <f t="shared" si="38"/>
        <v>2.2156655240407022E-6</v>
      </c>
      <c r="R327" s="40" cm="1">
        <f t="array" ref="R327">(O327/WSchiene_2)*10^6*(1+3*Faktor_Oberbauzustand_2*fPersonenzüge_2)</f>
        <v>2.9153493737377662E-6</v>
      </c>
      <c r="S327" s="40" cm="1">
        <f t="array" ref="S327">(O327/WSchiene_2)*10^6*(1+3*Faktor_Oberbauzustand_2*fGüterzüge_2)</f>
        <v>2.8803651812529128E-6</v>
      </c>
      <c r="T327" s="40" t="e">
        <f t="shared" si="33"/>
        <v>#N/A</v>
      </c>
      <c r="U327" s="39" cm="1">
        <f t="array" ref="U327">ktot_2*N327</f>
        <v>-1.0153253379804626E-6</v>
      </c>
      <c r="V327" s="139">
        <f t="shared" si="34"/>
        <v>28.788060189811855</v>
      </c>
    </row>
    <row r="328" spans="13:22">
      <c r="M328" s="38">
        <f t="shared" si="39"/>
        <v>31.000000000000171</v>
      </c>
      <c r="N328" s="39">
        <f t="shared" si="35"/>
        <v>-3.920764415969921E-8</v>
      </c>
      <c r="O328" s="39">
        <f t="shared" si="36"/>
        <v>4.7909912742071841E-7</v>
      </c>
      <c r="P328" s="39">
        <f t="shared" si="37"/>
        <v>8.9831086391384707E-7</v>
      </c>
      <c r="Q328" s="39">
        <f t="shared" si="38"/>
        <v>2.2149751614457625E-6</v>
      </c>
      <c r="R328" s="40" cm="1">
        <f t="array" ref="R328">(O328/WSchiene_2)*10^6*(1+3*Faktor_Oberbauzustand_2*fPersonenzüge_2)</f>
        <v>2.9144410019023192E-6</v>
      </c>
      <c r="S328" s="40" cm="1">
        <f t="array" ref="S328">(O328/WSchiene_2)*10^6*(1+3*Faktor_Oberbauzustand_2*fGüterzüge_2)</f>
        <v>2.8794677098794915E-6</v>
      </c>
      <c r="T328" s="40" t="e">
        <f t="shared" si="33"/>
        <v>#N/A</v>
      </c>
      <c r="U328" s="39" cm="1">
        <f t="array" ref="U328">ktot_2*N328</f>
        <v>-7.8978857327388905E-7</v>
      </c>
      <c r="V328" s="139">
        <f t="shared" si="34"/>
        <v>28.788060189811855</v>
      </c>
    </row>
    <row r="329" spans="13:22">
      <c r="M329" s="38">
        <f t="shared" si="39"/>
        <v>31.100000000000172</v>
      </c>
      <c r="N329" s="39">
        <f t="shared" si="35"/>
        <v>-2.9406770741997086E-8</v>
      </c>
      <c r="O329" s="39">
        <f t="shared" si="36"/>
        <v>4.6574756286955629E-7</v>
      </c>
      <c r="P329" s="39">
        <f t="shared" si="37"/>
        <v>8.7327668038041814E-7</v>
      </c>
      <c r="Q329" s="39">
        <f t="shared" si="38"/>
        <v>2.1532480946350271E-6</v>
      </c>
      <c r="R329" s="40" cm="1">
        <f t="array" ref="R329">(O329/WSchiene_2)*10^6*(1+3*Faktor_Oberbauzustand_2*fPersonenzüge_2)</f>
        <v>2.8332211771513515E-6</v>
      </c>
      <c r="S329" s="40" cm="1">
        <f t="array" ref="S329">(O329/WSchiene_2)*10^6*(1+3*Faktor_Oberbauzustand_2*fGüterzüge_2)</f>
        <v>2.7992225230255354E-6</v>
      </c>
      <c r="T329" s="40" t="e">
        <f t="shared" si="33"/>
        <v>#N/A</v>
      </c>
      <c r="U329" s="39" cm="1">
        <f t="array" ref="U329">ktot_2*N329</f>
        <v>-5.9236233154724689E-7</v>
      </c>
      <c r="V329" s="139">
        <f t="shared" si="34"/>
        <v>28.788060189811855</v>
      </c>
    </row>
    <row r="330" spans="13:22">
      <c r="M330" s="38">
        <f t="shared" si="39"/>
        <v>31.200000000000173</v>
      </c>
      <c r="N330" s="39">
        <f t="shared" si="35"/>
        <v>-2.0963215551951315E-8</v>
      </c>
      <c r="O330" s="39">
        <f t="shared" si="36"/>
        <v>4.4248527813507466E-7</v>
      </c>
      <c r="P330" s="39">
        <f t="shared" si="37"/>
        <v>8.2965989650326492E-7</v>
      </c>
      <c r="Q330" s="39">
        <f t="shared" si="38"/>
        <v>2.0457017019652087E-6</v>
      </c>
      <c r="R330" s="40" cm="1">
        <f t="array" ref="R330">(O330/WSchiene_2)*10^6*(1+3*Faktor_Oberbauzustand_2*fPersonenzüge_2)</f>
        <v>2.6917127657436958E-6</v>
      </c>
      <c r="S330" s="40" cm="1">
        <f t="array" ref="S330">(O330/WSchiene_2)*10^6*(1+3*Faktor_Oberbauzustand_2*fGüterzüge_2)</f>
        <v>2.6594122125547716E-6</v>
      </c>
      <c r="T330" s="40" t="e">
        <f t="shared" ref="T330:T338" si="40">IF(N330=MAX($N$8:$N$338),N330,#N/A)</f>
        <v>#N/A</v>
      </c>
      <c r="U330" s="39" cm="1">
        <f t="array" ref="U330">ktot_2*N330</f>
        <v>-4.2227755471793307E-7</v>
      </c>
      <c r="V330" s="139">
        <f t="shared" ref="V330:V338" si="41">MAX($U$8:$U$338)</f>
        <v>28.788060189811855</v>
      </c>
    </row>
    <row r="331" spans="13:22">
      <c r="M331" s="38">
        <f t="shared" si="39"/>
        <v>31.300000000000175</v>
      </c>
      <c r="N331" s="39">
        <f t="shared" si="35"/>
        <v>-1.3809755498275731E-8</v>
      </c>
      <c r="O331" s="39">
        <f t="shared" si="36"/>
        <v>4.1214891180710166E-7</v>
      </c>
      <c r="P331" s="39">
        <f t="shared" si="37"/>
        <v>7.7277920963831556E-7</v>
      </c>
      <c r="Q331" s="39">
        <f t="shared" si="38"/>
        <v>1.9054503550952459E-6</v>
      </c>
      <c r="R331" s="40" cm="1">
        <f t="array" ref="R331">(O331/WSchiene_2)*10^6*(1+3*Faktor_Oberbauzustand_2*fPersonenzüge_2)</f>
        <v>2.5071715198621656E-6</v>
      </c>
      <c r="S331" s="40" cm="1">
        <f t="array" ref="S331">(O331/WSchiene_2)*10^6*(1+3*Faktor_Oberbauzustand_2*fGüterzüge_2)</f>
        <v>2.4770854616238199E-6</v>
      </c>
      <c r="T331" s="40" t="e">
        <f t="shared" si="40"/>
        <v>#N/A</v>
      </c>
      <c r="U331" s="39" cm="1">
        <f t="array" ref="U331">ktot_2*N331</f>
        <v>-2.7818011834170116E-7</v>
      </c>
      <c r="V331" s="139">
        <f t="shared" si="41"/>
        <v>28.788060189811855</v>
      </c>
    </row>
    <row r="332" spans="13:22">
      <c r="M332" s="38">
        <f t="shared" si="39"/>
        <v>31.400000000000176</v>
      </c>
      <c r="N332" s="39">
        <f t="shared" si="35"/>
        <v>-7.8584097893860633E-9</v>
      </c>
      <c r="O332" s="39">
        <f t="shared" si="36"/>
        <v>3.7714255911379784E-7</v>
      </c>
      <c r="P332" s="39">
        <f t="shared" si="37"/>
        <v>7.0714229833837081E-7</v>
      </c>
      <c r="Q332" s="39">
        <f t="shared" si="38"/>
        <v>1.7436086875348951E-6</v>
      </c>
      <c r="R332" s="40" cm="1">
        <f t="array" ref="R332">(O332/WSchiene_2)*10^6*(1+3*Faktor_Oberbauzustand_2*fPersonenzüge_2)</f>
        <v>2.2942219572827569E-6</v>
      </c>
      <c r="S332" s="40" cm="1">
        <f t="array" ref="S332">(O332/WSchiene_2)*10^6*(1+3*Faktor_Oberbauzustand_2*fGüterzüge_2)</f>
        <v>2.2666912937953638E-6</v>
      </c>
      <c r="T332" s="40" t="e">
        <f t="shared" si="40"/>
        <v>#N/A</v>
      </c>
      <c r="U332" s="39" cm="1">
        <f t="array" ref="U332">ktot_2*N332</f>
        <v>-1.5829776026533896E-7</v>
      </c>
      <c r="V332" s="139">
        <f t="shared" si="41"/>
        <v>28.788060189811855</v>
      </c>
    </row>
    <row r="333" spans="13:22">
      <c r="M333" s="38">
        <f t="shared" si="39"/>
        <v>31.500000000000178</v>
      </c>
      <c r="N333" s="39">
        <f t="shared" si="35"/>
        <v>-3.0074657213037083E-9</v>
      </c>
      <c r="O333" s="39">
        <f t="shared" si="36"/>
        <v>3.3946711318102673E-7</v>
      </c>
      <c r="P333" s="39">
        <f t="shared" si="37"/>
        <v>6.3650083721442505E-7</v>
      </c>
      <c r="Q333" s="39">
        <f t="shared" si="38"/>
        <v>1.5694272454046543E-6</v>
      </c>
      <c r="R333" s="40" cm="1">
        <f t="array" ref="R333">(O333/WSchiene_2)*10^6*(1+3*Faktor_Oberbauzustand_2*fPersonenzüge_2)</f>
        <v>2.0650358492166507E-6</v>
      </c>
      <c r="S333" s="40" cm="1">
        <f t="array" ref="S333">(O333/WSchiene_2)*10^6*(1+3*Faktor_Oberbauzustand_2*fGüterzüge_2)</f>
        <v>2.0402554190260509E-6</v>
      </c>
      <c r="T333" s="40" t="e">
        <f t="shared" si="40"/>
        <v>#N/A</v>
      </c>
      <c r="U333" s="39" cm="1">
        <f t="array" ref="U333">ktot_2*N333</f>
        <v>-6.058160626850593E-8</v>
      </c>
      <c r="V333" s="139">
        <f t="shared" si="41"/>
        <v>28.788060189811855</v>
      </c>
    </row>
    <row r="334" spans="13:22">
      <c r="M334" s="38">
        <f t="shared" si="39"/>
        <v>31.600000000000179</v>
      </c>
      <c r="N334" s="39">
        <f t="shared" si="35"/>
        <v>8.5267153550683013E-10</v>
      </c>
      <c r="O334" s="39">
        <f t="shared" si="36"/>
        <v>3.0075424941321554E-7</v>
      </c>
      <c r="P334" s="39">
        <f t="shared" si="37"/>
        <v>5.6391421764977911E-7</v>
      </c>
      <c r="Q334" s="39">
        <f t="shared" si="38"/>
        <v>1.39044960431445E-6</v>
      </c>
      <c r="R334" s="40" cm="1">
        <f t="array" ref="R334">(O334/WSchiene_2)*10^6*(1+3*Faktor_Oberbauzustand_2*fPersonenzüge_2)</f>
        <v>1.8295389530453292E-6</v>
      </c>
      <c r="S334" s="40" cm="1">
        <f t="array" ref="S334">(O334/WSchiene_2)*10^6*(1+3*Faktor_Oberbauzustand_2*fGüterzüge_2)</f>
        <v>1.807584485608785E-6</v>
      </c>
      <c r="T334" s="40" t="e">
        <f t="shared" si="40"/>
        <v>#N/A</v>
      </c>
      <c r="U334" s="39" cm="1">
        <f t="array" ref="U334">ktot_2*N334</f>
        <v>1.7175993353648159E-8</v>
      </c>
      <c r="V334" s="139">
        <f t="shared" si="41"/>
        <v>28.788060189811855</v>
      </c>
    </row>
    <row r="335" spans="13:22">
      <c r="M335" s="38">
        <f t="shared" si="39"/>
        <v>31.70000000000018</v>
      </c>
      <c r="N335" s="39">
        <f t="shared" si="35"/>
        <v>3.8347064129493156E-9</v>
      </c>
      <c r="O335" s="39">
        <f t="shared" si="36"/>
        <v>2.6230308628221442E-7</v>
      </c>
      <c r="P335" s="39">
        <f t="shared" si="37"/>
        <v>4.9181828677915199E-7</v>
      </c>
      <c r="Q335" s="39">
        <f t="shared" si="38"/>
        <v>1.2126818598345557E-6</v>
      </c>
      <c r="R335" s="40" cm="1">
        <f t="array" ref="R335">(O335/WSchiene_2)*10^6*(1+3*Faktor_Oberbauzustand_2*fPersonenzüge_2)</f>
        <v>1.5956340260980998E-6</v>
      </c>
      <c r="S335" s="40" cm="1">
        <f t="array" ref="S335">(O335/WSchiene_2)*10^6*(1+3*Faktor_Oberbauzustand_2*fGüterzüge_2)</f>
        <v>1.5764864177849226E-6</v>
      </c>
      <c r="T335" s="40" t="e">
        <f t="shared" si="40"/>
        <v>#N/A</v>
      </c>
      <c r="U335" s="39" cm="1">
        <f t="array" ref="U335">ktot_2*N335</f>
        <v>7.7245327326259525E-8</v>
      </c>
      <c r="V335" s="139">
        <f t="shared" si="41"/>
        <v>28.788060189811855</v>
      </c>
    </row>
    <row r="336" spans="13:22">
      <c r="M336" s="38">
        <f t="shared" si="39"/>
        <v>31.800000000000182</v>
      </c>
      <c r="N336" s="39">
        <f t="shared" ref="N336:N338" si="42">(1/(ESchiene_1*ISchiene_1))*((Achslast_2_2*10^3/2)/(8*(1/Lelastisch_1)^3)*EXP(-(1/Lelastisch_1)*ABS(M336-$D$32)*10^3)*(COS(ABS(M336-$D$32)*10^3/Lelastisch_1)+SIN(ABS(M336-$D$32)*10^3/Lelastisch_1))+(Achslast_1_2*10^3/2)/(8*(1/Lelastisch_1)^3)*EXP(-(1/Lelastisch_1)*ABS(M336-$D$31)*10^3)*(COS(ABS(M336-$D$31)*10^3/Lelastisch_1)+SIN(ABS(M336-$D$31)*10^3/Lelastisch_1)))</f>
        <v>6.0506510467469422E-9</v>
      </c>
      <c r="O336" s="39">
        <f t="shared" si="36"/>
        <v>2.2511791725971921E-7</v>
      </c>
      <c r="P336" s="39">
        <f t="shared" si="37"/>
        <v>4.2209609486197346E-7</v>
      </c>
      <c r="Q336" s="39">
        <f t="shared" si="38"/>
        <v>1.0407670700865429E-6</v>
      </c>
      <c r="R336" s="40" cm="1">
        <f t="array" ref="R336">(O336/WSchiene_2)*10^6*(1+3*Faktor_Oberbauzustand_2*fPersonenzüge_2)</f>
        <v>1.3694303553770301E-6</v>
      </c>
      <c r="S336" s="40" cm="1">
        <f t="array" ref="S336">(O336/WSchiene_2)*10^6*(1+3*Faktor_Oberbauzustand_2*fGüterzüge_2)</f>
        <v>1.3529971911125058E-6</v>
      </c>
      <c r="T336" s="40" t="e">
        <f t="shared" si="40"/>
        <v>#N/A</v>
      </c>
      <c r="U336" s="39" cm="1">
        <f t="array" ref="U336">ktot_2*N336</f>
        <v>1.218827389404947E-7</v>
      </c>
      <c r="V336" s="139">
        <f t="shared" si="41"/>
        <v>28.788060189811855</v>
      </c>
    </row>
    <row r="337" spans="13:22">
      <c r="M337" s="38">
        <f t="shared" ref="M337:M338" si="43">MIN(M336+Dx,LSchiene)</f>
        <v>31.900000000000183</v>
      </c>
      <c r="N337" s="39">
        <f t="shared" si="42"/>
        <v>7.6088841571110757E-9</v>
      </c>
      <c r="O337" s="39">
        <f t="shared" si="36"/>
        <v>1.8994573440727458E-7</v>
      </c>
      <c r="P337" s="39">
        <f t="shared" si="37"/>
        <v>3.5614825201363986E-7</v>
      </c>
      <c r="Q337" s="39">
        <f t="shared" si="38"/>
        <v>8.7815873512378448E-7</v>
      </c>
      <c r="R337" s="40" cm="1">
        <f t="array" ref="R337">(O337/WSchiene_2)*10^6*(1+3*Faktor_Oberbauzustand_2*fPersonenzüge_2)</f>
        <v>1.1554720198997165E-6</v>
      </c>
      <c r="S337" s="40" cm="1">
        <f t="array" ref="S337">(O337/WSchiene_2)*10^6*(1+3*Faktor_Oberbauzustand_2*fGüterzüge_2)</f>
        <v>1.1416063556609198E-6</v>
      </c>
      <c r="T337" s="40" t="e">
        <f t="shared" si="40"/>
        <v>#N/A</v>
      </c>
      <c r="U337" s="39" cm="1">
        <f t="array" ref="U337">ktot_2*N337</f>
        <v>1.5327138091168488E-7</v>
      </c>
      <c r="V337" s="139">
        <f t="shared" si="41"/>
        <v>28.788060189811855</v>
      </c>
    </row>
    <row r="338" spans="13:22">
      <c r="M338" s="38">
        <f t="shared" si="43"/>
        <v>32</v>
      </c>
      <c r="N338" s="39">
        <f t="shared" si="42"/>
        <v>8.6119614011383897E-9</v>
      </c>
      <c r="O338" s="39">
        <f t="shared" si="36"/>
        <v>1.5731255314270559E-7</v>
      </c>
      <c r="P338" s="39">
        <f t="shared" si="37"/>
        <v>2.9496103714257305E-7</v>
      </c>
      <c r="Q338" s="39">
        <f t="shared" si="38"/>
        <v>7.2728873390062685E-7</v>
      </c>
      <c r="R338" s="40" cm="1">
        <f t="array" ref="R338">(O338/WSchiene_2)*10^6*(1+3*Faktor_Oberbauzustand_2*fPersonenzüge_2)</f>
        <v>9.569588603955618E-7</v>
      </c>
      <c r="S338" s="40" cm="1">
        <f t="array" ref="S338">(O338/WSchiene_2)*10^6*(1+3*Faktor_Oberbauzustand_2*fGüterzüge_2)</f>
        <v>9.4547535407081497E-7</v>
      </c>
      <c r="T338" s="40" t="e">
        <f t="shared" si="40"/>
        <v>#N/A</v>
      </c>
      <c r="U338" s="39" cm="1">
        <f t="array" ref="U338">ktot_2*N338</f>
        <v>1.7347710768825422E-7</v>
      </c>
      <c r="V338" s="139">
        <f t="shared" si="41"/>
        <v>28.788060189811855</v>
      </c>
    </row>
  </sheetData>
  <sheetProtection algorithmName="SHA-512" hashValue="Zyh+BEVXESIqqtmgQ1YXGAs6MpnW/Sz2SR6/PwTKzg7fgYCiRxsL7AaxTDQh4p/ylIH3lI8JNt7M9eVN+d51Sw==" saltValue="dyWr7LPtE/dL0n/4BFIWGQ==" spinCount="100000" sheet="1" objects="1" selectLockedCells="1"/>
  <mergeCells count="15">
    <mergeCell ref="E136:F136"/>
    <mergeCell ref="A139:B139"/>
    <mergeCell ref="A140:B140"/>
    <mergeCell ref="B163:B164"/>
    <mergeCell ref="I3:J3"/>
    <mergeCell ref="A4:E5"/>
    <mergeCell ref="A35:B35"/>
    <mergeCell ref="A36:B36"/>
    <mergeCell ref="I4:J4"/>
    <mergeCell ref="B18:D18"/>
    <mergeCell ref="B19:C19"/>
    <mergeCell ref="E132:F132"/>
    <mergeCell ref="E133:F133"/>
    <mergeCell ref="E134:F134"/>
    <mergeCell ref="E135:F135"/>
  </mergeCells>
  <conditionalFormatting sqref="A6">
    <cfRule type="containsText" dxfId="165" priority="55" operator="containsText" text="36E3; 54E1;54E2">
      <formula>NOT(ISERROR(SEARCH("36E3; 54E1;54E2",A6)))</formula>
    </cfRule>
    <cfRule type="containsText" dxfId="164" priority="54" operator="containsText" text="54E2">
      <formula>NOT(ISERROR(SEARCH("54E2",A6)))</formula>
    </cfRule>
    <cfRule type="containsText" dxfId="163" priority="53" operator="containsText" text="36E3">
      <formula>NOT(ISERROR(SEARCH("36E3",A6)))</formula>
    </cfRule>
    <cfRule type="containsText" dxfId="162" priority="52" operator="containsText" text="36E3">
      <formula>NOT(ISERROR(SEARCH("36E3",A6)))</formula>
    </cfRule>
    <cfRule type="containsText" dxfId="161" priority="51" operator="containsText" text="36E3">
      <formula>NOT(ISERROR(SEARCH("36E3",A6)))</formula>
    </cfRule>
    <cfRule type="containsText" dxfId="160" priority="46" operator="containsText" text="Hauptgleis ">
      <formula>NOT(ISERROR(SEARCH("Hauptgleis ",A6)))</formula>
    </cfRule>
    <cfRule type="expression" dxfId="159" priority="57">
      <formula>OR($B$12="46E1",$B$12="54E2",$B$12="60E1")</formula>
    </cfRule>
    <cfRule type="containsText" dxfId="158" priority="50" operator="containsText" text="41E1">
      <formula>NOT(ISERROR(SEARCH("41E1",A6)))</formula>
    </cfRule>
    <cfRule type="containsText" dxfId="157" priority="49" operator="containsText" text="49E1">
      <formula>NOT(ISERROR(SEARCH("49E1",A6)))</formula>
    </cfRule>
    <cfRule type="containsText" dxfId="156" priority="48" operator="containsText" text="54E1">
      <formula>NOT(ISERROR(SEARCH("54E1",A6)))</formula>
    </cfRule>
    <cfRule type="containsText" dxfId="155" priority="47" operator="containsText" text="54E2">
      <formula>NOT(ISERROR(SEARCH("54E2",A6)))</formula>
    </cfRule>
    <cfRule type="containsText" dxfId="154" priority="45" operator="containsText" text="Nebengleis ">
      <formula>NOT(ISERROR(SEARCH("Nebengleis ",A6)))</formula>
    </cfRule>
    <cfRule type="expression" dxfId="153" priority="58">
      <formula>"ODER($B$17=""B91"";$B$17=""B06"";$B$17=""HD""+$A$12;$B$17=""Holz"";$B$17=""Stahl"";$B$17=""Y-Stahl"""</formula>
    </cfRule>
    <cfRule type="dataBar" priority="5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{2449CC9B-AB91-4145-BB44-661B7B150698}</x14:id>
        </ext>
      </extLst>
    </cfRule>
  </conditionalFormatting>
  <conditionalFormatting sqref="A131">
    <cfRule type="expression" dxfId="152" priority="1">
      <formula>$D$117&gt;0</formula>
    </cfRule>
  </conditionalFormatting>
  <conditionalFormatting sqref="B9:B10">
    <cfRule type="expression" dxfId="151" priority="60">
      <formula>$I$7&gt;0</formula>
    </cfRule>
  </conditionalFormatting>
  <conditionalFormatting sqref="B12">
    <cfRule type="expression" dxfId="150" priority="118">
      <formula>OR($B$12="46E1",$B$12="54E2",$B$12="60E1")</formula>
    </cfRule>
    <cfRule type="dataBar" priority="10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{A6204C85-935E-41A8-AD19-4312AA6898E1}</x14:id>
        </ext>
      </extLst>
    </cfRule>
    <cfRule type="containsText" dxfId="149" priority="99" operator="containsText" text="36E3; 54E1;54E2">
      <formula>NOT(ISERROR(SEARCH("36E3; 54E1;54E2",B12)))</formula>
    </cfRule>
    <cfRule type="containsText" dxfId="148" priority="98" operator="containsText" text="54E2">
      <formula>NOT(ISERROR(SEARCH("54E2",B12)))</formula>
    </cfRule>
    <cfRule type="containsText" dxfId="147" priority="97" operator="containsText" text="36E3">
      <formula>NOT(ISERROR(SEARCH("36E3",B12)))</formula>
    </cfRule>
    <cfRule type="containsText" dxfId="146" priority="96" operator="containsText" text="36E3">
      <formula>NOT(ISERROR(SEARCH("36E3",B12)))</formula>
    </cfRule>
    <cfRule type="containsText" dxfId="145" priority="95" operator="containsText" text="36E3">
      <formula>NOT(ISERROR(SEARCH("36E3",B12)))</formula>
    </cfRule>
    <cfRule type="containsText" dxfId="144" priority="93" operator="containsText" text="49E1">
      <formula>NOT(ISERROR(SEARCH("49E1",B12)))</formula>
    </cfRule>
    <cfRule type="containsText" dxfId="143" priority="92" operator="containsText" text="54E1">
      <formula>NOT(ISERROR(SEARCH("54E1",B12)))</formula>
    </cfRule>
    <cfRule type="containsText" dxfId="142" priority="91" operator="containsText" text="54E2">
      <formula>NOT(ISERROR(SEARCH("54E2",B12)))</formula>
    </cfRule>
    <cfRule type="expression" dxfId="141" priority="119">
      <formula>"ODER($B$17=""B91"";$B$17=""B06"";$B$17=""HD""+$A$12;$B$17=""Holz"";$B$17=""Stahl"";$B$17=""Y-Stahl"""</formula>
    </cfRule>
    <cfRule type="containsText" dxfId="140" priority="94" operator="containsText" text="41E1">
      <formula>NOT(ISERROR(SEARCH("41E1",B12)))</formula>
    </cfRule>
  </conditionalFormatting>
  <conditionalFormatting sqref="B17">
    <cfRule type="expression" dxfId="139" priority="102">
      <formula>$I$7&gt;0</formula>
    </cfRule>
  </conditionalFormatting>
  <conditionalFormatting sqref="D117">
    <cfRule type="expression" dxfId="138" priority="106">
      <formula>$D$117&gt;0</formula>
    </cfRule>
  </conditionalFormatting>
  <conditionalFormatting sqref="D118">
    <cfRule type="expression" dxfId="137" priority="105">
      <formula>$D$118&gt;0</formula>
    </cfRule>
  </conditionalFormatting>
  <conditionalFormatting sqref="D123:D124">
    <cfRule type="expression" dxfId="136" priority="2">
      <formula>$D$117&gt;0</formula>
    </cfRule>
  </conditionalFormatting>
  <conditionalFormatting sqref="E10">
    <cfRule type="expression" dxfId="135" priority="59">
      <formula>$I$7&gt;0</formula>
    </cfRule>
  </conditionalFormatting>
  <conditionalFormatting sqref="I7">
    <cfRule type="expression" dxfId="134" priority="115">
      <formula>$I$7&gt;0</formula>
    </cfRule>
  </conditionalFormatting>
  <conditionalFormatting sqref="I9">
    <cfRule type="containsText" dxfId="133" priority="43" operator="containsText" text="Müller M02">
      <formula>NOT(ISERROR(SEARCH("Müller M02",I9)))</formula>
    </cfRule>
    <cfRule type="containsText" dxfId="132" priority="44" operator="containsText" text="USP-7-S-3035">
      <formula>NOT(ISERROR(SEARCH("USP-7-S-3035",I9)))</formula>
    </cfRule>
    <cfRule type="expression" dxfId="131" priority="135">
      <formula>"ODER($B$17=""B91"";$B$17=""B06"";$B$17=""HD""+$A$12;$B$17=""Holz"";$B$17=""Stahl"";$B$17=""Y-Stahl"""</formula>
    </cfRule>
    <cfRule type="containsText" dxfId="130" priority="123" operator="containsText" text="SLB3007">
      <formula>NOT(ISERROR(SEARCH("SLB3007",I9)))</formula>
    </cfRule>
    <cfRule type="containsText" dxfId="129" priority="121" operator="containsText" text="SLS1308">
      <formula>NOT(ISERROR(SEARCH("SLS1308",I9)))</formula>
    </cfRule>
    <cfRule type="containsText" dxfId="128" priority="122" operator="containsText" text="SLB2210">
      <formula>NOT(ISERROR(SEARCH("SLB2210",I9)))</formula>
    </cfRule>
    <cfRule type="containsText" dxfId="127" priority="124" operator="containsText" text="54E2">
      <formula>NOT(ISERROR(SEARCH("54E2",I9)))</formula>
    </cfRule>
    <cfRule type="containsText" dxfId="126" priority="125" operator="containsText" text="54E1">
      <formula>NOT(ISERROR(SEARCH("54E1",I9)))</formula>
    </cfRule>
    <cfRule type="containsText" dxfId="125" priority="126" operator="containsText" text="49E1">
      <formula>NOT(ISERROR(SEARCH("49E1",I9)))</formula>
    </cfRule>
    <cfRule type="containsText" dxfId="124" priority="127" operator="containsText" text="41E1">
      <formula>NOT(ISERROR(SEARCH("41E1",I9)))</formula>
    </cfRule>
    <cfRule type="containsText" dxfId="123" priority="128" operator="containsText" text="36E3">
      <formula>NOT(ISERROR(SEARCH("36E3",I9)))</formula>
    </cfRule>
    <cfRule type="containsText" dxfId="122" priority="129" operator="containsText" text="36E3">
      <formula>NOT(ISERROR(SEARCH("36E3",I9)))</formula>
    </cfRule>
    <cfRule type="containsText" dxfId="121" priority="130" operator="containsText" text="36E3">
      <formula>NOT(ISERROR(SEARCH("36E3",I9)))</formula>
    </cfRule>
    <cfRule type="containsText" dxfId="120" priority="131" operator="containsText" text="54E2">
      <formula>NOT(ISERROR(SEARCH("54E2",I9)))</formula>
    </cfRule>
    <cfRule type="containsText" dxfId="119" priority="132" operator="containsText" text="36E3; 54E1;54E2">
      <formula>NOT(ISERROR(SEARCH("36E3; 54E1;54E2",I9)))</formula>
    </cfRule>
    <cfRule type="dataBar" priority="13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{3BF21798-A394-4D35-8E25-EC6BB4DFAD34}</x14:id>
        </ext>
      </extLst>
    </cfRule>
    <cfRule type="expression" dxfId="118" priority="134">
      <formula>OR($B$12="46E1",$B$12="54E2",$B$12="60E1")</formula>
    </cfRule>
  </conditionalFormatting>
  <conditionalFormatting sqref="I17">
    <cfRule type="expression" dxfId="117" priority="103">
      <formula>$I$7&gt;0</formula>
    </cfRule>
  </conditionalFormatting>
  <conditionalFormatting sqref="I20">
    <cfRule type="containsText" dxfId="116" priority="66" operator="containsText" text="49E1">
      <formula>NOT(ISERROR(SEARCH("49E1",I20)))</formula>
    </cfRule>
    <cfRule type="containsText" dxfId="115" priority="67" operator="containsText" text="41E1">
      <formula>NOT(ISERROR(SEARCH("41E1",I20)))</formula>
    </cfRule>
    <cfRule type="containsText" dxfId="114" priority="68" operator="containsText" text="36E3">
      <formula>NOT(ISERROR(SEARCH("36E3",I20)))</formula>
    </cfRule>
    <cfRule type="containsText" dxfId="113" priority="69" operator="containsText" text="36E3">
      <formula>NOT(ISERROR(SEARCH("36E3",I20)))</formula>
    </cfRule>
    <cfRule type="containsText" dxfId="112" priority="70" operator="containsText" text="36E3">
      <formula>NOT(ISERROR(SEARCH("36E3",I20)))</formula>
    </cfRule>
    <cfRule type="containsText" dxfId="111" priority="71" operator="containsText" text="54E2">
      <formula>NOT(ISERROR(SEARCH("54E2",I20)))</formula>
    </cfRule>
    <cfRule type="containsText" dxfId="110" priority="72" operator="containsText" text="36E3; 54E1;54E2">
      <formula>NOT(ISERROR(SEARCH("36E3; 54E1;54E2",I20)))</formula>
    </cfRule>
    <cfRule type="dataBar" priority="7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{772EDC7A-A46C-4C41-941A-E11A17DB5833}</x14:id>
        </ext>
      </extLst>
    </cfRule>
    <cfRule type="expression" dxfId="109" priority="74">
      <formula>OR($B$12="46E1",$B$12="54E2",$B$12="60E1")</formula>
    </cfRule>
    <cfRule type="expression" dxfId="108" priority="75">
      <formula>"ODER($B$17=""B91"";$B$17=""B06"";$B$17=""HD""+$A$12;$B$17=""Holz"";$B$17=""Stahl"";$B$17=""Y-Stahl"""</formula>
    </cfRule>
    <cfRule type="containsText" dxfId="107" priority="63" operator="containsText" text="SLB3007">
      <formula>NOT(ISERROR(SEARCH("SLB3007",I20)))</formula>
    </cfRule>
    <cfRule type="containsText" dxfId="106" priority="37" operator="containsText" text="DN319">
      <formula>NOT(ISERROR(SEARCH("DN319",I20)))</formula>
    </cfRule>
    <cfRule type="containsText" dxfId="105" priority="39" operator="containsText" text="D619">
      <formula>NOT(ISERROR(SEARCH("D619",I20)))</formula>
    </cfRule>
    <cfRule type="containsText" dxfId="104" priority="40" operator="containsText" text="D1519">
      <formula>NOT(ISERROR(SEARCH("D1519",I20)))</formula>
    </cfRule>
    <cfRule type="containsText" dxfId="103" priority="41" operator="containsText" text="D1019">
      <formula>NOT(ISERROR(SEARCH("D1019",I20)))</formula>
    </cfRule>
    <cfRule type="containsText" dxfId="102" priority="42" operator="containsText" text="CN225">
      <formula>NOT(ISERROR(SEARCH("CN225",I20)))</formula>
    </cfRule>
    <cfRule type="containsText" dxfId="101" priority="61" operator="containsText" text="SLS1308">
      <formula>NOT(ISERROR(SEARCH("SLS1308",I20)))</formula>
    </cfRule>
    <cfRule type="containsText" dxfId="100" priority="62" operator="containsText" text="SLB2210">
      <formula>NOT(ISERROR(SEARCH("SLB2210",I20)))</formula>
    </cfRule>
    <cfRule type="containsText" dxfId="99" priority="38" operator="containsText" text="DN619">
      <formula>NOT(ISERROR(SEARCH("DN619",I20)))</formula>
    </cfRule>
    <cfRule type="containsText" dxfId="98" priority="64" operator="containsText" text="54E2">
      <formula>NOT(ISERROR(SEARCH("54E2",I20)))</formula>
    </cfRule>
    <cfRule type="containsText" dxfId="97" priority="65" operator="containsText" text="54E1">
      <formula>NOT(ISERROR(SEARCH("54E1",I20)))</formula>
    </cfRule>
  </conditionalFormatting>
  <conditionalFormatting sqref="I25">
    <cfRule type="containsText" dxfId="96" priority="25" operator="containsText" text="54E2">
      <formula>NOT(ISERROR(SEARCH("54E2",I25)))</formula>
    </cfRule>
    <cfRule type="containsText" dxfId="95" priority="24" operator="containsText" text="SLB3007">
      <formula>NOT(ISERROR(SEARCH("SLB3007",I25)))</formula>
    </cfRule>
    <cfRule type="containsText" dxfId="94" priority="23" operator="containsText" text="SLB2210">
      <formula>NOT(ISERROR(SEARCH("SLB2210",I25)))</formula>
    </cfRule>
    <cfRule type="containsText" dxfId="93" priority="22" operator="containsText" text="SLS1308">
      <formula>NOT(ISERROR(SEARCH("SLS1308",I25)))</formula>
    </cfRule>
    <cfRule type="containsText" dxfId="92" priority="21" operator="containsText" text="CN225">
      <formula>NOT(ISERROR(SEARCH("CN225",I25)))</formula>
    </cfRule>
    <cfRule type="containsText" dxfId="91" priority="20" operator="containsText" text="D1019">
      <formula>NOT(ISERROR(SEARCH("D1019",I25)))</formula>
    </cfRule>
    <cfRule type="containsText" dxfId="90" priority="19" operator="containsText" text="D1519">
      <formula>NOT(ISERROR(SEARCH("D1519",I25)))</formula>
    </cfRule>
    <cfRule type="containsText" dxfId="89" priority="18" operator="containsText" text="D619">
      <formula>NOT(ISERROR(SEARCH("D619",I25)))</formula>
    </cfRule>
    <cfRule type="containsText" dxfId="88" priority="26" operator="containsText" text="54E1">
      <formula>NOT(ISERROR(SEARCH("54E1",I25)))</formula>
    </cfRule>
    <cfRule type="containsText" dxfId="87" priority="17" operator="containsText" text="DN619">
      <formula>NOT(ISERROR(SEARCH("DN619",I25)))</formula>
    </cfRule>
    <cfRule type="containsText" dxfId="86" priority="16" operator="containsText" text="DN319">
      <formula>NOT(ISERROR(SEARCH("DN319",I25)))</formula>
    </cfRule>
    <cfRule type="expression" dxfId="85" priority="36">
      <formula>"ODER($B$17=""B91"";$B$17=""B06"";$B$17=""HD""+$A$12;$B$17=""Holz"";$B$17=""Stahl"";$B$17=""Y-Stahl"""</formula>
    </cfRule>
    <cfRule type="expression" dxfId="84" priority="35">
      <formula>OR($B$12="46E1",$B$12="54E2",$B$12="60E1")</formula>
    </cfRule>
    <cfRule type="dataBar" priority="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{F22C4FD6-46F2-4A05-B02E-4C32B566E96B}</x14:id>
        </ext>
      </extLst>
    </cfRule>
    <cfRule type="containsText" dxfId="83" priority="33" operator="containsText" text="36E3; 54E1;54E2">
      <formula>NOT(ISERROR(SEARCH("36E3; 54E1;54E2",I25)))</formula>
    </cfRule>
    <cfRule type="containsText" dxfId="82" priority="32" operator="containsText" text="54E2">
      <formula>NOT(ISERROR(SEARCH("54E2",I25)))</formula>
    </cfRule>
    <cfRule type="containsText" dxfId="81" priority="31" operator="containsText" text="36E3">
      <formula>NOT(ISERROR(SEARCH("36E3",I25)))</formula>
    </cfRule>
    <cfRule type="containsText" dxfId="80" priority="30" operator="containsText" text="36E3">
      <formula>NOT(ISERROR(SEARCH("36E3",I25)))</formula>
    </cfRule>
    <cfRule type="containsText" dxfId="79" priority="29" operator="containsText" text="36E3">
      <formula>NOT(ISERROR(SEARCH("36E3",I25)))</formula>
    </cfRule>
    <cfRule type="containsText" dxfId="78" priority="28" operator="containsText" text="41E1">
      <formula>NOT(ISERROR(SEARCH("41E1",I25)))</formula>
    </cfRule>
    <cfRule type="containsText" dxfId="77" priority="27" operator="containsText" text="49E1">
      <formula>NOT(ISERROR(SEARCH("49E1",I25)))</formula>
    </cfRule>
  </conditionalFormatting>
  <conditionalFormatting sqref="I3:J3">
    <cfRule type="expression" dxfId="76" priority="107">
      <formula>$K$4&gt;=6</formula>
    </cfRule>
  </conditionalFormatting>
  <conditionalFormatting sqref="I4:J4">
    <cfRule type="expression" dxfId="75" priority="114">
      <formula>$K$4&gt;=6</formula>
    </cfRule>
  </conditionalFormatting>
  <conditionalFormatting sqref="N1:N338 N340:N1048576">
    <cfRule type="cellIs" dxfId="74" priority="120" operator="equal">
      <formula>$B$56</formula>
    </cfRule>
  </conditionalFormatting>
  <dataValidations count="2">
    <dataValidation type="list" allowBlank="1" showInputMessage="1" showErrorMessage="1" sqref="D124" xr:uid="{F46B1693-F767-433E-93BF-FE1DEFEB83F5}">
      <formula1>$C$125:$C$127</formula1>
    </dataValidation>
    <dataValidation type="list" allowBlank="1" showInputMessage="1" showErrorMessage="1" sqref="A131" xr:uid="{DE4074A0-9C95-41A2-86D4-2E92C3C634ED}">
      <formula1>$I$128:$I$130</formula1>
    </dataValidation>
  </dataValidations>
  <pageMargins left="0.7" right="0.7" top="0.78740157499999996" bottom="0.78740157499999996" header="0.3" footer="0.3"/>
  <pageSetup paperSize="9" scale="59" orientation="portrait" horizontalDpi="1200" verticalDpi="1200" r:id="rId1"/>
  <rowBreaks count="2" manualBreakCount="2">
    <brk id="76" max="11" man="1"/>
    <brk id="165" max="11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49CC9B-AB91-4145-BB44-661B7B15069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A6</xm:sqref>
        </x14:conditionalFormatting>
        <x14:conditionalFormatting xmlns:xm="http://schemas.microsoft.com/office/excel/2006/main">
          <x14:cfRule type="dataBar" id="{A6204C85-935E-41A8-AD19-4312AA6898E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B12</xm:sqref>
        </x14:conditionalFormatting>
        <x14:conditionalFormatting xmlns:xm="http://schemas.microsoft.com/office/excel/2006/main">
          <x14:cfRule type="dataBar" id="{3BF21798-A394-4D35-8E25-EC6BB4DFAD3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772EDC7A-A46C-4C41-941A-E11A17DB58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I20</xm:sqref>
        </x14:conditionalFormatting>
        <x14:conditionalFormatting xmlns:xm="http://schemas.microsoft.com/office/excel/2006/main">
          <x14:cfRule type="dataBar" id="{F22C4FD6-46F2-4A05-B02E-4C32B566E96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2DAFA44-7487-4FE1-9BF7-13F4CFB27CAB}">
          <x14:formula1>
            <xm:f>Komponenten!$A$3:$A$9</xm:f>
          </x14:formula1>
          <xm:sqref>B12</xm:sqref>
        </x14:dataValidation>
        <x14:dataValidation type="list" allowBlank="1" showInputMessage="1" showErrorMessage="1" xr:uid="{CA522151-75FA-46CD-ABC5-35799259B2AA}">
          <x14:formula1>
            <xm:f>Komponenten!$A$13:$A$24</xm:f>
          </x14:formula1>
          <xm:sqref>B17</xm:sqref>
        </x14:dataValidation>
        <x14:dataValidation type="list" allowBlank="1" showInputMessage="1" showErrorMessage="1" xr:uid="{C57A3269-21B8-43D6-91A9-F0DA07E7AE2C}">
          <x14:formula1>
            <xm:f>Komponenten!$A$37:$A$42</xm:f>
          </x14:formula1>
          <xm:sqref>I9</xm:sqref>
        </x14:dataValidation>
        <x14:dataValidation type="list" allowBlank="1" showInputMessage="1" showErrorMessage="1" xr:uid="{0CBAEA81-212C-4BD2-8792-A3C779A37B43}">
          <x14:formula1>
            <xm:f>Komponenten!$A$46:$A$52</xm:f>
          </x14:formula1>
          <xm:sqref>I20</xm:sqref>
        </x14:dataValidation>
        <x14:dataValidation type="list" allowBlank="1" showInputMessage="1" showErrorMessage="1" xr:uid="{18CAAE07-C52C-4014-8367-779BA73EF201}">
          <x14:formula1>
            <xm:f>Komponenten!$A$31:$A$32</xm:f>
          </x14:formula1>
          <xm:sqref>A6</xm:sqref>
        </x14:dataValidation>
        <x14:dataValidation type="list" allowBlank="1" showInputMessage="1" showErrorMessage="1" xr:uid="{DCC87D43-0006-42F1-915A-D59BF02AE4C7}">
          <x14:formula1>
            <xm:f>Komponenten!$G$46:$G$47</xm:f>
          </x14:formula1>
          <xm:sqref>I25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1322A-DBD1-4BEF-A2F7-E1B58F4FE6CA}">
  <dimension ref="A1:V331"/>
  <sheetViews>
    <sheetView workbookViewId="0">
      <selection activeCell="I14" sqref="I14"/>
    </sheetView>
  </sheetViews>
  <sheetFormatPr baseColWidth="10" defaultColWidth="11.453125" defaultRowHeight="14.5"/>
  <cols>
    <col min="1" max="1" width="20.453125" customWidth="1"/>
    <col min="2" max="2" width="19.26953125" customWidth="1"/>
    <col min="3" max="3" width="8.7265625" customWidth="1"/>
    <col min="4" max="4" width="13.54296875" customWidth="1"/>
    <col min="5" max="5" width="6.1796875" customWidth="1"/>
    <col min="6" max="6" width="2.1796875" customWidth="1"/>
    <col min="7" max="7" width="16.54296875" customWidth="1"/>
    <col min="8" max="8" width="9.453125" customWidth="1"/>
    <col min="9" max="9" width="10.1796875" customWidth="1"/>
    <col min="10" max="10" width="8.7265625" customWidth="1"/>
    <col min="11" max="11" width="12.26953125" customWidth="1"/>
    <col min="12" max="12" width="11.7265625" customWidth="1"/>
    <col min="13" max="13" width="11.1796875" hidden="1" customWidth="1"/>
    <col min="14" max="15" width="13" hidden="1" customWidth="1"/>
    <col min="16" max="16" width="11.1796875" hidden="1" customWidth="1"/>
    <col min="17" max="17" width="12" hidden="1" customWidth="1"/>
    <col min="18" max="20" width="11.1796875" hidden="1" customWidth="1"/>
    <col min="21" max="21" width="14.54296875" hidden="1" customWidth="1"/>
    <col min="22" max="22" width="11.1796875" hidden="1" customWidth="1"/>
  </cols>
  <sheetData>
    <row r="1" spans="1:22">
      <c r="A1" s="49"/>
      <c r="B1" s="49"/>
      <c r="C1" s="49"/>
      <c r="D1" s="49"/>
      <c r="E1" s="49"/>
      <c r="F1" s="49"/>
      <c r="G1" s="49"/>
      <c r="H1" s="149"/>
      <c r="I1" s="150"/>
      <c r="J1" s="151"/>
      <c r="K1" s="49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>
      <c r="A2" s="49"/>
      <c r="B2" s="49"/>
      <c r="C2" s="49"/>
      <c r="D2" s="49"/>
      <c r="E2" s="49"/>
      <c r="F2" s="49"/>
      <c r="G2" s="49"/>
      <c r="H2" s="151"/>
      <c r="I2" s="151"/>
      <c r="J2" s="49"/>
      <c r="K2" s="49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>
      <c r="A3" s="49"/>
      <c r="B3" s="49"/>
      <c r="C3" s="49"/>
      <c r="D3" s="49"/>
      <c r="E3" s="49"/>
      <c r="F3" s="49"/>
      <c r="G3" s="49"/>
      <c r="H3" s="151"/>
      <c r="I3" s="337" t="s">
        <v>0</v>
      </c>
      <c r="J3" s="337"/>
      <c r="K3" s="49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2" ht="18" customHeight="1">
      <c r="A4" s="301"/>
      <c r="B4" s="301"/>
      <c r="C4" s="301"/>
      <c r="D4" s="301"/>
      <c r="E4" s="301"/>
      <c r="F4" s="206"/>
      <c r="G4" s="281"/>
      <c r="H4" s="281"/>
      <c r="I4" s="358" t="s">
        <v>2</v>
      </c>
      <c r="J4" s="359"/>
      <c r="K4" s="195">
        <f>E14+E19+E25+K8+K15+K25</f>
        <v>5</v>
      </c>
      <c r="L4" s="5"/>
      <c r="M4" s="6" t="s">
        <v>3</v>
      </c>
      <c r="N4" s="6"/>
      <c r="O4" s="6"/>
      <c r="P4" s="6"/>
      <c r="Q4" s="6"/>
      <c r="R4" s="6"/>
      <c r="S4" s="6"/>
      <c r="T4" s="6"/>
      <c r="U4" s="6"/>
    </row>
    <row r="5" spans="1:22" ht="18" customHeight="1">
      <c r="A5" s="301"/>
      <c r="B5" s="301"/>
      <c r="C5" s="301"/>
      <c r="D5" s="301"/>
      <c r="E5" s="301"/>
      <c r="F5" s="206"/>
      <c r="G5" s="49"/>
      <c r="H5" s="49"/>
      <c r="I5" s="299"/>
      <c r="J5" s="299"/>
      <c r="K5" s="300"/>
      <c r="L5" s="5"/>
      <c r="M5" s="6"/>
      <c r="N5" s="6"/>
      <c r="O5" s="6"/>
      <c r="P5" s="6"/>
      <c r="Q5" s="6"/>
      <c r="R5" s="6"/>
      <c r="S5" s="6"/>
      <c r="T5" s="6"/>
      <c r="U5" s="6"/>
    </row>
    <row r="6" spans="1:22" ht="15" customHeight="1">
      <c r="A6" s="302" t="s">
        <v>160</v>
      </c>
      <c r="B6" s="301"/>
      <c r="C6" s="301"/>
      <c r="D6" s="301"/>
      <c r="E6" s="301"/>
      <c r="F6" s="207"/>
      <c r="G6" s="1"/>
      <c r="H6" s="1"/>
      <c r="I6" s="1"/>
      <c r="J6" s="1"/>
      <c r="K6" s="10"/>
      <c r="L6" s="5"/>
      <c r="M6" s="11" t="s">
        <v>5</v>
      </c>
      <c r="N6" s="11" t="s">
        <v>6</v>
      </c>
      <c r="O6" s="11" t="s">
        <v>7</v>
      </c>
      <c r="P6" s="11" t="s">
        <v>7</v>
      </c>
      <c r="Q6" s="11" t="s">
        <v>8</v>
      </c>
      <c r="R6" s="11" t="s">
        <v>8</v>
      </c>
      <c r="S6" s="11" t="s">
        <v>8</v>
      </c>
      <c r="T6" s="11" t="s">
        <v>9</v>
      </c>
      <c r="U6" s="11" t="s">
        <v>10</v>
      </c>
    </row>
    <row r="7" spans="1:22" ht="15" hidden="1">
      <c r="A7" s="261" t="s">
        <v>160</v>
      </c>
      <c r="B7" s="1"/>
      <c r="C7" s="1"/>
      <c r="D7" s="1"/>
      <c r="E7" s="1"/>
      <c r="F7" s="207"/>
      <c r="G7" s="1"/>
      <c r="H7" s="1"/>
      <c r="I7" s="1"/>
      <c r="J7" s="1"/>
      <c r="K7" s="10"/>
      <c r="L7" s="5"/>
      <c r="M7" s="19" t="s">
        <v>17</v>
      </c>
      <c r="N7" s="11" t="s">
        <v>18</v>
      </c>
      <c r="O7" s="11" t="s">
        <v>19</v>
      </c>
      <c r="P7" s="11" t="s">
        <v>20</v>
      </c>
      <c r="Q7" s="20" t="s">
        <v>21</v>
      </c>
      <c r="R7" s="21" t="s">
        <v>22</v>
      </c>
      <c r="S7" s="21" t="s">
        <v>23</v>
      </c>
      <c r="T7" s="21"/>
      <c r="U7" s="11" t="s">
        <v>24</v>
      </c>
    </row>
    <row r="8" spans="1:22" ht="15.5">
      <c r="A8" s="1"/>
      <c r="B8" s="1"/>
      <c r="C8" s="1"/>
      <c r="D8" s="1"/>
      <c r="E8" s="1"/>
      <c r="F8" s="207"/>
      <c r="G8" s="1"/>
      <c r="H8" s="1"/>
      <c r="I8" s="1"/>
      <c r="J8" s="1"/>
      <c r="K8" s="162">
        <f>IF(k_zw&gt;0,1,0)</f>
        <v>1</v>
      </c>
      <c r="L8" s="30"/>
      <c r="M8" s="19" t="s">
        <v>15</v>
      </c>
      <c r="N8" s="11" t="s">
        <v>29</v>
      </c>
      <c r="O8" s="11" t="s">
        <v>30</v>
      </c>
      <c r="P8" s="11" t="s">
        <v>30</v>
      </c>
      <c r="Q8" s="11" t="s">
        <v>31</v>
      </c>
      <c r="R8" s="11" t="s">
        <v>31</v>
      </c>
      <c r="S8" s="11" t="s">
        <v>31</v>
      </c>
      <c r="T8" s="11"/>
      <c r="U8" s="11" t="s">
        <v>13</v>
      </c>
    </row>
    <row r="9" spans="1:22">
      <c r="A9" s="12" t="s">
        <v>11</v>
      </c>
      <c r="B9" s="13" t="s">
        <v>12</v>
      </c>
      <c r="C9" s="13" t="s">
        <v>13</v>
      </c>
      <c r="D9" s="14" t="s">
        <v>14</v>
      </c>
      <c r="E9" s="15" t="s">
        <v>15</v>
      </c>
      <c r="F9" s="207"/>
      <c r="G9" s="282" t="s">
        <v>159</v>
      </c>
      <c r="H9" s="283"/>
      <c r="I9" s="283"/>
      <c r="J9" s="283"/>
      <c r="K9" s="29"/>
      <c r="L9" s="30"/>
      <c r="M9" s="38">
        <f>x0</f>
        <v>0</v>
      </c>
      <c r="N9" s="39">
        <f t="shared" ref="N9:N72" si="0">(1/($C$14*$C$15))*(($C$11*10^3/2)/(8*(1/$I$24)^3)*EXP(-(1/$I$24)*ABS(M9-$D$33)*10^3)*(COS(ABS(M9-$D$33)*10^3/$I$24)+SIN(ABS(M9-$D$33)*10^3/$I$24))+($C$10*10^3/2)/(8*(1/$I$24)^3)*EXP(-(1/$I$24)*ABS(M9-$D$32)*10^3)*(COS(ABS(M9-$D$32)*10^3/$I$24)+SIN(ABS(M9-$D$32)*10^3/$I$24)))</f>
        <v>3.4876656657026107E-7</v>
      </c>
      <c r="O9" s="39">
        <f t="shared" ref="O9:O72" si="1">(($C$11*10^3/2)/(4*(1/$I$24))*EXP(-(1/$I$24)*ABS(M9-$D$33)*10^3)*(COS(ABS(M9-$D$33)*10^3/$I$24)-SIN(ABS(M9-$D$33)*10^3/$I$24))+($C$10*10^3/2)/(4*(1/$I$24))*EXP(-(1/$I$24)*ABS(M9-$D$32)*10^3)*(COS(ABS(M9-$D$32)*10^3/$I$24)-SIN(ABS(M9-$D$32)*10^3/$I$24)))*10^-6</f>
        <v>-1.0277655140516413E-5</v>
      </c>
      <c r="P9" s="39">
        <f t="shared" ref="P9:P72" si="2">((Achslast_2_2*10^3*kd_2*kq_2/2)/(4*(1/Lelastisch_2))*EXP(-(1/Lelastisch_2)*ABS(M9-$D$33)*10^3)*(COS(ABS(M9-$D$33)*10^3/Lelastisch_2)-SIN(ABS(M9-$D$33)*10^3/Lelastisch_2))+(Achslast_1_2*10^3*kd_2*kq_2/2)/(4*(1/Lelastisch_2))*EXP(-(1/Lelastisch_2)*ABS(M9-$D$32)*10^3)*(COS(ABS(M9-$D$32)*10^3/Lelastisch_2)-SIN(ABS(M9-$D$32)*10^3/Lelastisch_2)))*10^-6</f>
        <v>2.949610371425747E-7</v>
      </c>
      <c r="Q9" s="39">
        <f>O9/$C$16*10^6</f>
        <v>-3.718399110172364E-5</v>
      </c>
      <c r="R9" s="40">
        <f>(O9/$C$16)*10^6*(1+3*$D$126*$D$122)</f>
        <v>-3.718399110172364E-5</v>
      </c>
      <c r="S9" s="40">
        <f t="shared" ref="S9:S72" si="3">(O9/WSchiene_2)*10^6*(1+3*$D$126*$D$123)</f>
        <v>-4.7515742674602001E-5</v>
      </c>
      <c r="T9" s="40" t="e">
        <f>IF(N9=MAX($N$9:$N$331),N9,#N/A)</f>
        <v>#N/A</v>
      </c>
      <c r="U9" s="39">
        <f t="shared" ref="U9:U72" si="4">$I$22*N9</f>
        <v>3.7168728231288923E-6</v>
      </c>
      <c r="V9" s="139">
        <f>MAX($U$9:$U$331)</f>
        <v>19.530128248781189</v>
      </c>
    </row>
    <row r="10" spans="1:22">
      <c r="A10" s="47" t="s">
        <v>25</v>
      </c>
      <c r="B10" s="237">
        <v>13</v>
      </c>
      <c r="C10" s="250">
        <f>B10*10</f>
        <v>130</v>
      </c>
      <c r="D10" s="251"/>
      <c r="E10" s="252"/>
      <c r="F10" s="8"/>
      <c r="G10" s="16" t="s">
        <v>16</v>
      </c>
      <c r="H10" s="17"/>
      <c r="I10" s="238"/>
      <c r="J10" s="18"/>
      <c r="K10" s="29"/>
      <c r="L10" s="30"/>
      <c r="M10" s="38">
        <f>MIN(M9+Dx,LSchiene)</f>
        <v>0.1</v>
      </c>
      <c r="N10" s="39">
        <f t="shared" si="0"/>
        <v>5.0213688242264105E-7</v>
      </c>
      <c r="O10" s="39">
        <f t="shared" si="1"/>
        <v>-1.0931366321067E-5</v>
      </c>
      <c r="P10" s="39">
        <f t="shared" si="2"/>
        <v>3.5614825201375887E-7</v>
      </c>
      <c r="Q10" s="39">
        <f t="shared" ref="Q10:Q73" si="5">O10/$C$16*10^6</f>
        <v>-3.9549082203570913E-5</v>
      </c>
      <c r="R10" s="40">
        <f t="shared" ref="R10:R73" si="6">(O10/$C$16)*10^6*(1+3*$D$126*$D$122)</f>
        <v>-3.9549082203570913E-5</v>
      </c>
      <c r="S10" s="40">
        <f t="shared" si="3"/>
        <v>-5.0537985765450768E-5</v>
      </c>
      <c r="T10" s="40" t="e">
        <f>IF(N10=MAX($N$9:$N$331),N10,#N/A)</f>
        <v>#N/A</v>
      </c>
      <c r="U10" s="39">
        <f t="shared" si="4"/>
        <v>5.3513699725325864E-6</v>
      </c>
      <c r="V10" s="139">
        <f t="shared" ref="V10:V72" si="7">MAX($U$9:$U$331)</f>
        <v>19.530128248781189</v>
      </c>
    </row>
    <row r="11" spans="1:22">
      <c r="A11" s="42" t="s">
        <v>32</v>
      </c>
      <c r="B11" s="237">
        <v>13</v>
      </c>
      <c r="C11" s="43">
        <f t="shared" ref="C11" si="8">B11*10</f>
        <v>130</v>
      </c>
      <c r="D11" s="44" t="s">
        <v>33</v>
      </c>
      <c r="E11" s="253">
        <v>2.2999999999999998</v>
      </c>
      <c r="F11" s="8"/>
      <c r="G11" s="26" t="s">
        <v>202</v>
      </c>
      <c r="H11" s="36"/>
      <c r="I11" s="237" t="s">
        <v>203</v>
      </c>
      <c r="J11" s="249" t="s">
        <v>163</v>
      </c>
      <c r="K11" s="29"/>
      <c r="L11" s="30"/>
      <c r="M11" s="38">
        <f t="shared" ref="M11" si="9">MIN(M10+Dx,LSchiene)</f>
        <v>0.2</v>
      </c>
      <c r="N11" s="39">
        <f t="shared" si="0"/>
        <v>6.7805539059196812E-7</v>
      </c>
      <c r="O11" s="39">
        <f t="shared" si="1"/>
        <v>-1.1495554114934705E-5</v>
      </c>
      <c r="P11" s="39">
        <f t="shared" si="2"/>
        <v>4.2209609486209745E-7</v>
      </c>
      <c r="Q11" s="39">
        <f t="shared" si="5"/>
        <v>-4.1590282615538E-5</v>
      </c>
      <c r="R11" s="40">
        <f t="shared" si="6"/>
        <v>-4.1590282615538E-5</v>
      </c>
      <c r="S11" s="40">
        <f t="shared" si="3"/>
        <v>-5.3146343573438304E-5</v>
      </c>
      <c r="T11" s="40" t="e">
        <f>IF(N11=MAX($N$9:$N$331),N11,#N/A)</f>
        <v>#N/A</v>
      </c>
      <c r="U11" s="39">
        <f t="shared" si="4"/>
        <v>7.2261675729161788E-6</v>
      </c>
      <c r="V11" s="139">
        <f t="shared" si="7"/>
        <v>19.530128248781189</v>
      </c>
    </row>
    <row r="12" spans="1:22" ht="15.5">
      <c r="A12" s="45" t="s">
        <v>45</v>
      </c>
      <c r="B12" s="46"/>
      <c r="C12" s="46"/>
      <c r="D12" s="46"/>
      <c r="E12" s="163"/>
      <c r="F12" s="8"/>
      <c r="G12" s="26" t="s">
        <v>26</v>
      </c>
      <c r="H12" s="27" t="s">
        <v>27</v>
      </c>
      <c r="I12" s="258">
        <f>VLOOKUP(I11,Komponenten!G38:H40,2,FALSE)</f>
        <v>100</v>
      </c>
      <c r="J12" s="28" t="s">
        <v>28</v>
      </c>
      <c r="K12" s="29"/>
      <c r="L12" s="30"/>
      <c r="M12" s="38">
        <f>MIN(M11+Dx,LSchiene)</f>
        <v>0.30000000000000004</v>
      </c>
      <c r="N12" s="39">
        <f t="shared" si="0"/>
        <v>8.7768126158273217E-7</v>
      </c>
      <c r="O12" s="39">
        <f t="shared" si="1"/>
        <v>-1.1938954690054833E-5</v>
      </c>
      <c r="P12" s="39">
        <f t="shared" si="2"/>
        <v>4.9181828677928349E-7</v>
      </c>
      <c r="Q12" s="39">
        <f t="shared" si="5"/>
        <v>-4.3194481512499395E-5</v>
      </c>
      <c r="R12" s="40">
        <f t="shared" si="6"/>
        <v>-4.3194481512499395E-5</v>
      </c>
      <c r="S12" s="40">
        <f t="shared" si="3"/>
        <v>-5.5196276884210971E-5</v>
      </c>
      <c r="T12" s="40" t="e">
        <f>IF(N12=MAX($N$9:$N$331),N12,#N/A)</f>
        <v>#N/A</v>
      </c>
      <c r="U12" s="39">
        <f t="shared" si="4"/>
        <v>9.3536191287680154E-6</v>
      </c>
      <c r="V12" s="139">
        <f t="shared" si="7"/>
        <v>19.530128248781189</v>
      </c>
    </row>
    <row r="13" spans="1:22">
      <c r="A13" s="47" t="s">
        <v>48</v>
      </c>
      <c r="B13" s="236" t="s">
        <v>204</v>
      </c>
      <c r="C13" s="247" t="s">
        <v>163</v>
      </c>
      <c r="D13" s="48"/>
      <c r="E13" s="46"/>
      <c r="F13" s="8"/>
      <c r="G13" s="35" t="s">
        <v>205</v>
      </c>
      <c r="H13" s="36"/>
      <c r="I13" s="208"/>
      <c r="J13" s="242"/>
      <c r="K13" s="29"/>
      <c r="L13" s="30"/>
      <c r="M13" s="38"/>
      <c r="N13" s="39">
        <f t="shared" si="0"/>
        <v>3.4876656657026107E-7</v>
      </c>
      <c r="O13" s="39">
        <f t="shared" si="1"/>
        <v>-1.0277655140516413E-5</v>
      </c>
      <c r="P13" s="39">
        <f t="shared" si="2"/>
        <v>2.949610371425747E-7</v>
      </c>
      <c r="Q13" s="39">
        <f t="shared" si="5"/>
        <v>-3.718399110172364E-5</v>
      </c>
      <c r="R13" s="40">
        <f t="shared" si="6"/>
        <v>-3.718399110172364E-5</v>
      </c>
      <c r="S13" s="40">
        <f t="shared" si="3"/>
        <v>-4.7515742674602001E-5</v>
      </c>
      <c r="T13" s="40"/>
      <c r="U13" s="39">
        <f t="shared" si="4"/>
        <v>3.7168728231288923E-6</v>
      </c>
      <c r="V13" s="139">
        <f t="shared" si="7"/>
        <v>19.530128248781189</v>
      </c>
    </row>
    <row r="14" spans="1:22" ht="15.5">
      <c r="A14" s="32" t="s">
        <v>51</v>
      </c>
      <c r="B14" s="234" t="s">
        <v>52</v>
      </c>
      <c r="C14" s="187">
        <v>210000</v>
      </c>
      <c r="D14" s="41" t="s">
        <v>53</v>
      </c>
      <c r="E14" s="162">
        <f>IF(OR(B13="46E1",B13="54E2",B13="60E1"),1,0)</f>
        <v>1</v>
      </c>
      <c r="F14" s="8"/>
      <c r="G14" s="26" t="s">
        <v>206</v>
      </c>
      <c r="H14" s="36"/>
      <c r="I14" s="237" t="s">
        <v>207</v>
      </c>
      <c r="J14" s="249" t="s">
        <v>163</v>
      </c>
      <c r="K14" s="29"/>
      <c r="L14" s="30"/>
      <c r="M14" s="38">
        <f>MIN(M12+Dx,LSchiene)</f>
        <v>0.4</v>
      </c>
      <c r="N14" s="39">
        <f t="shared" si="0"/>
        <v>1.1019236235770075E-6</v>
      </c>
      <c r="O14" s="39">
        <f t="shared" si="1"/>
        <v>-1.2226097009716093E-5</v>
      </c>
      <c r="P14" s="39">
        <f t="shared" si="2"/>
        <v>5.6391421764991136E-7</v>
      </c>
      <c r="Q14" s="39">
        <f t="shared" si="5"/>
        <v>-4.4233346634283988E-5</v>
      </c>
      <c r="R14" s="40">
        <f t="shared" si="6"/>
        <v>-4.4233346634283988E-5</v>
      </c>
      <c r="S14" s="40">
        <f t="shared" si="3"/>
        <v>-5.6523795699103531E-5</v>
      </c>
      <c r="T14" s="40" t="e">
        <f>IF(N14=MAX($N$9:$N$331),N14,#N/A)</f>
        <v>#N/A</v>
      </c>
      <c r="U14" s="39">
        <f t="shared" si="4"/>
        <v>1.1743413395136847E-5</v>
      </c>
      <c r="V14" s="139">
        <f t="shared" si="7"/>
        <v>19.530128248781189</v>
      </c>
    </row>
    <row r="15" spans="1:22" ht="15.5">
      <c r="A15" s="32" t="s">
        <v>55</v>
      </c>
      <c r="B15" s="50" t="s">
        <v>56</v>
      </c>
      <c r="C15" s="187">
        <f>IF(B13="VST-C",Komponenten!D3,IF(B13="36E3",Komponenten!D4,IF(B13="41E1",Komponenten!D5,IF(B13="46E1",Komponenten!D6,IF(B13="49E1",Komponenten!D7,IF(B13="54E1",Komponenten!D8,IF(B13="54E2",Komponenten!D9,)))))))</f>
        <v>23070000</v>
      </c>
      <c r="D15" s="41" t="s">
        <v>57</v>
      </c>
      <c r="E15" s="51"/>
      <c r="F15" s="8"/>
      <c r="G15" s="26" t="s">
        <v>208</v>
      </c>
      <c r="H15" s="27" t="s">
        <v>46</v>
      </c>
      <c r="I15" s="74">
        <f>VLOOKUP(I14,Komponenten!M36:N39,2,FALSE)</f>
        <v>12</v>
      </c>
      <c r="J15" s="41" t="s">
        <v>47</v>
      </c>
      <c r="K15" s="162">
        <f>IF(cSchotter&gt;0,1,0)</f>
        <v>1</v>
      </c>
      <c r="L15" s="5"/>
      <c r="M15" s="38">
        <f t="shared" ref="M15:M17" si="10">MIN(M14+Dx,LSchiene)</f>
        <v>0.5</v>
      </c>
      <c r="N15" s="39">
        <f t="shared" si="0"/>
        <v>1.3513683185655422E-6</v>
      </c>
      <c r="O15" s="39">
        <f t="shared" si="1"/>
        <v>-1.2317142437194607E-5</v>
      </c>
      <c r="P15" s="39">
        <f t="shared" si="2"/>
        <v>6.3650083721455644E-7</v>
      </c>
      <c r="Q15" s="39">
        <f t="shared" si="5"/>
        <v>-4.456274398406153E-5</v>
      </c>
      <c r="R15" s="40">
        <f t="shared" si="6"/>
        <v>-4.456274398406153E-5</v>
      </c>
      <c r="S15" s="40">
        <f t="shared" si="3"/>
        <v>-5.6944717693918661E-5</v>
      </c>
      <c r="T15" s="40" t="e">
        <f>IF(N15=MAX($N$9:$N$331),N15,#N/A)</f>
        <v>#N/A</v>
      </c>
      <c r="U15" s="39">
        <f t="shared" si="4"/>
        <v>1.4401793803540415E-5</v>
      </c>
      <c r="V15" s="139">
        <f t="shared" si="7"/>
        <v>19.530128248781189</v>
      </c>
    </row>
    <row r="16" spans="1:22" ht="15.5">
      <c r="A16" s="42" t="s">
        <v>59</v>
      </c>
      <c r="B16" s="259" t="s">
        <v>60</v>
      </c>
      <c r="C16" s="188">
        <f>IF(B13="VST-C",Komponenten!B3,IF(B13="36E3",Komponenten!B4,IF(B13="41E1",Komponenten!B5,IF(B13="46E1",Komponenten!B6,IF(B13="49E1",Komponenten!B7,IF(B13="54E1",Komponenten!B8,IF(B13="54E2",Komponenten!B9,)))))))</f>
        <v>276400</v>
      </c>
      <c r="D16" s="55" t="s">
        <v>61</v>
      </c>
      <c r="E16" s="52"/>
      <c r="F16" s="8"/>
      <c r="G16" s="26" t="s">
        <v>209</v>
      </c>
      <c r="H16" s="27"/>
      <c r="I16" s="333" t="str">
        <f>IF(OR(AND(B18="LVT",I14="Typ 1"),AND(B18="LVT",I14="Typ 2")),"ok",IF(OR(AND(B18="LVT-HA",I14="Typ 1 - LVT-HA"),AND(B18="LVT-HA",I14="Typ 2 - LVT-HA")),"ok","Achtung"))</f>
        <v>ok</v>
      </c>
      <c r="J16" s="41"/>
      <c r="K16" s="29"/>
      <c r="L16" s="5"/>
      <c r="M16" s="38">
        <f t="shared" si="10"/>
        <v>0.6</v>
      </c>
      <c r="N16" s="39">
        <f t="shared" si="0"/>
        <v>1.6261956531525635E-6</v>
      </c>
      <c r="O16" s="39">
        <f t="shared" si="1"/>
        <v>-1.2167781895828513E-5</v>
      </c>
      <c r="P16" s="39">
        <f t="shared" si="2"/>
        <v>7.0714229833849108E-7</v>
      </c>
      <c r="Q16" s="39">
        <f t="shared" si="5"/>
        <v>-4.4022365759148019E-5</v>
      </c>
      <c r="R16" s="40">
        <f t="shared" si="6"/>
        <v>-4.4022365759148019E-5</v>
      </c>
      <c r="S16" s="40">
        <f t="shared" si="3"/>
        <v>-5.6254192768509075E-5</v>
      </c>
      <c r="T16" s="40" t="e">
        <f>IF(N16=MAX($N$9:$N$331),N16,#N/A)</f>
        <v>#N/A</v>
      </c>
      <c r="U16" s="39">
        <f t="shared" si="4"/>
        <v>1.7330681916368352E-5</v>
      </c>
      <c r="V16" s="139">
        <f t="shared" si="7"/>
        <v>19.530128248781189</v>
      </c>
    </row>
    <row r="17" spans="1:22">
      <c r="A17" s="45" t="s">
        <v>210</v>
      </c>
      <c r="B17" s="46"/>
      <c r="C17" s="56"/>
      <c r="D17" s="56"/>
      <c r="E17" s="52"/>
      <c r="F17" s="8"/>
      <c r="G17" s="35" t="s">
        <v>211</v>
      </c>
      <c r="H17" s="36"/>
      <c r="I17" s="37"/>
      <c r="J17" s="28"/>
      <c r="K17" s="29"/>
      <c r="L17" s="5"/>
      <c r="M17" s="38">
        <f t="shared" si="10"/>
        <v>0.7</v>
      </c>
      <c r="N17" s="39">
        <f t="shared" si="0"/>
        <v>1.9260889342744607E-6</v>
      </c>
      <c r="O17" s="39">
        <f t="shared" si="1"/>
        <v>-1.1729205196753183E-5</v>
      </c>
      <c r="P17" s="39">
        <f t="shared" si="2"/>
        <v>7.7277920963842494E-7</v>
      </c>
      <c r="Q17" s="39">
        <f t="shared" si="5"/>
        <v>-4.2435619380438434E-5</v>
      </c>
      <c r="R17" s="40">
        <f t="shared" si="6"/>
        <v>-4.2435619380438434E-5</v>
      </c>
      <c r="S17" s="40">
        <f t="shared" si="3"/>
        <v>-5.4226561242502003E-5</v>
      </c>
      <c r="T17" s="40" t="e">
        <f>IF(N17=MAX($N$9:$N$331),N17,#N/A)</f>
        <v>#N/A</v>
      </c>
      <c r="U17" s="39">
        <f t="shared" si="4"/>
        <v>2.0526702674328177E-5</v>
      </c>
      <c r="V17" s="139">
        <f t="shared" si="7"/>
        <v>19.530128248781189</v>
      </c>
    </row>
    <row r="18" spans="1:22" ht="15.5">
      <c r="A18" s="47" t="s">
        <v>212</v>
      </c>
      <c r="B18" s="236" t="s">
        <v>213</v>
      </c>
      <c r="C18" s="248" t="s">
        <v>163</v>
      </c>
      <c r="D18" s="48"/>
      <c r="E18" s="46"/>
      <c r="F18" s="8"/>
      <c r="G18" s="26" t="s">
        <v>26</v>
      </c>
      <c r="H18" s="27" t="s">
        <v>214</v>
      </c>
      <c r="I18" s="258">
        <v>2000</v>
      </c>
      <c r="J18" s="41" t="s">
        <v>47</v>
      </c>
      <c r="K18" s="29"/>
      <c r="L18" s="5"/>
      <c r="M18" s="38"/>
      <c r="N18" s="39">
        <f t="shared" si="0"/>
        <v>3.4876656657026107E-7</v>
      </c>
      <c r="O18" s="39">
        <f t="shared" si="1"/>
        <v>-1.0277655140516413E-5</v>
      </c>
      <c r="P18" s="39">
        <f t="shared" si="2"/>
        <v>2.949610371425747E-7</v>
      </c>
      <c r="Q18" s="39">
        <f t="shared" si="5"/>
        <v>-3.718399110172364E-5</v>
      </c>
      <c r="R18" s="40">
        <f t="shared" si="6"/>
        <v>-3.718399110172364E-5</v>
      </c>
      <c r="S18" s="40">
        <f t="shared" si="3"/>
        <v>-4.7515742674602001E-5</v>
      </c>
      <c r="T18" s="40"/>
      <c r="U18" s="39">
        <f t="shared" si="4"/>
        <v>3.7168728231288923E-6</v>
      </c>
      <c r="V18" s="139">
        <f t="shared" si="7"/>
        <v>19.530128248781189</v>
      </c>
    </row>
    <row r="19" spans="1:22">
      <c r="A19" s="32" t="s">
        <v>167</v>
      </c>
      <c r="B19" s="342" t="str">
        <f>VLOOKUP(B18,Komponenten!A25:O26,13,FALSE)</f>
        <v>46E1, 54E2</v>
      </c>
      <c r="C19" s="343"/>
      <c r="D19" s="344"/>
      <c r="E19" s="162">
        <f>IF(OR(B18="B91",B18="B06",B18="HD",B18="Holz",B18="Stahl",,B18="Y-Stahl"),1,0)</f>
        <v>0</v>
      </c>
      <c r="F19" s="8"/>
      <c r="G19" s="26"/>
      <c r="H19" s="53"/>
      <c r="I19" s="37"/>
      <c r="J19" s="41"/>
      <c r="K19" s="29"/>
      <c r="L19" s="5"/>
      <c r="M19" s="38">
        <f>MIN(M17+Dx,LSchiene)</f>
        <v>0.79999999999999993</v>
      </c>
      <c r="N19" s="39">
        <f t="shared" si="0"/>
        <v>2.2501337293158579E-6</v>
      </c>
      <c r="O19" s="39">
        <f t="shared" si="1"/>
        <v>-1.0948158781094E-5</v>
      </c>
      <c r="P19" s="39">
        <f t="shared" si="2"/>
        <v>8.2965989650335491E-7</v>
      </c>
      <c r="Q19" s="39">
        <f t="shared" si="5"/>
        <v>-3.9609836400484807E-5</v>
      </c>
      <c r="R19" s="40">
        <f t="shared" si="6"/>
        <v>-3.9609836400484807E-5</v>
      </c>
      <c r="S19" s="40">
        <f t="shared" si="3"/>
        <v>-5.0615620809496071E-5</v>
      </c>
      <c r="T19" s="40" t="e">
        <f t="shared" ref="T19:T82" si="11">IF(N19=MAX($N$9:$N$331),N19,#N/A)</f>
        <v>#N/A</v>
      </c>
      <c r="U19" s="39">
        <f t="shared" si="4"/>
        <v>2.3980110791998484E-5</v>
      </c>
      <c r="V19" s="139">
        <f t="shared" si="7"/>
        <v>19.530128248781189</v>
      </c>
    </row>
    <row r="20" spans="1:22">
      <c r="A20" s="32" t="s">
        <v>168</v>
      </c>
      <c r="B20" s="360" t="str">
        <f>VLOOKUP(B18,Komponenten!A25:O26,14,FALSE)</f>
        <v>keine Angabe</v>
      </c>
      <c r="C20" s="361"/>
      <c r="D20" s="41" t="s">
        <v>13</v>
      </c>
      <c r="E20" s="52"/>
      <c r="F20" s="8"/>
      <c r="G20" s="26"/>
      <c r="H20" s="53"/>
      <c r="I20" s="37"/>
      <c r="J20" s="41"/>
      <c r="K20" s="29"/>
      <c r="L20" s="5"/>
      <c r="M20" s="38">
        <f t="shared" ref="M20:M61" si="12">MIN(M19+Dx,LSchiene)</f>
        <v>0.89999999999999991</v>
      </c>
      <c r="N20" s="39">
        <f t="shared" si="0"/>
        <v>2.5967079728870457E-6</v>
      </c>
      <c r="O20" s="39">
        <f t="shared" si="1"/>
        <v>-9.7671097682412086E-6</v>
      </c>
      <c r="P20" s="39">
        <f t="shared" si="2"/>
        <v>8.7327668038047933E-7</v>
      </c>
      <c r="Q20" s="39">
        <f t="shared" si="5"/>
        <v>-3.5336866021133171E-5</v>
      </c>
      <c r="R20" s="40">
        <f t="shared" si="6"/>
        <v>-3.5336866021133171E-5</v>
      </c>
      <c r="S20" s="40">
        <f t="shared" si="3"/>
        <v>-4.5155384966441094E-5</v>
      </c>
      <c r="T20" s="40" t="e">
        <f t="shared" si="11"/>
        <v>#N/A</v>
      </c>
      <c r="U20" s="39">
        <f t="shared" si="4"/>
        <v>2.7673619604480063E-5</v>
      </c>
      <c r="V20" s="139">
        <f t="shared" si="7"/>
        <v>19.530128248781189</v>
      </c>
    </row>
    <row r="21" spans="1:22" ht="15.5">
      <c r="A21" s="32" t="s">
        <v>215</v>
      </c>
      <c r="B21" s="235" t="s">
        <v>73</v>
      </c>
      <c r="C21" s="205">
        <f>VLOOKUP(B18,Komponenten!A25:B26,2,FALSE)/1000</f>
        <v>0.64</v>
      </c>
      <c r="D21" s="41" t="s">
        <v>15</v>
      </c>
      <c r="E21" s="52"/>
      <c r="F21" s="8"/>
      <c r="G21" s="72" t="s">
        <v>95</v>
      </c>
      <c r="H21" s="73"/>
      <c r="I21" s="74"/>
      <c r="J21" s="28"/>
      <c r="K21" s="29"/>
      <c r="L21" s="5"/>
      <c r="M21" s="38">
        <f t="shared" si="12"/>
        <v>0.99999999999999989</v>
      </c>
      <c r="N21" s="39">
        <f t="shared" si="0"/>
        <v>2.9633632622338863E-6</v>
      </c>
      <c r="O21" s="39">
        <f t="shared" si="1"/>
        <v>-8.1245358243976831E-6</v>
      </c>
      <c r="P21" s="39">
        <f t="shared" si="2"/>
        <v>8.9831086391387016E-7</v>
      </c>
      <c r="Q21" s="39">
        <f t="shared" si="5"/>
        <v>-2.9394123821988727E-5</v>
      </c>
      <c r="R21" s="40">
        <f t="shared" si="6"/>
        <v>-2.9394123821988727E-5</v>
      </c>
      <c r="S21" s="40">
        <f t="shared" si="3"/>
        <v>-3.7561423136373936E-5</v>
      </c>
      <c r="T21" s="40" t="e">
        <f t="shared" si="11"/>
        <v>#N/A</v>
      </c>
      <c r="U21" s="39">
        <f t="shared" si="4"/>
        <v>3.1581136009597371E-5</v>
      </c>
      <c r="V21" s="139">
        <f t="shared" si="7"/>
        <v>19.530128248781189</v>
      </c>
    </row>
    <row r="22" spans="1:22" ht="14.65" customHeight="1">
      <c r="A22" s="32" t="s">
        <v>216</v>
      </c>
      <c r="B22" s="27" t="s">
        <v>76</v>
      </c>
      <c r="C22" s="75">
        <f>(VLOOKUP(B18,Komponenten!A25:G26,4,FALSE)+VLOOKUP(B18,Komponenten!A25:G26,6,FALSE))/2</f>
        <v>0.34</v>
      </c>
      <c r="D22" s="41" t="s">
        <v>15</v>
      </c>
      <c r="E22" s="52"/>
      <c r="F22" s="8"/>
      <c r="G22" s="26"/>
      <c r="H22" s="53" t="s">
        <v>97</v>
      </c>
      <c r="I22" s="75">
        <f>1/((IF(I12=0,0,1/I12)+(IF(I15=0,0,1/I15)+(IF(I18=0,0,1/I18)))))</f>
        <v>10.657193605683837</v>
      </c>
      <c r="J22" s="41" t="s">
        <v>47</v>
      </c>
      <c r="K22" s="29"/>
      <c r="L22" s="5"/>
      <c r="M22" s="38">
        <f t="shared" si="12"/>
        <v>1.0999999999999999</v>
      </c>
      <c r="N22" s="39">
        <f t="shared" si="0"/>
        <v>3.3466979432272E-6</v>
      </c>
      <c r="O22" s="39">
        <f t="shared" si="1"/>
        <v>-5.9553619268191435E-6</v>
      </c>
      <c r="P22" s="39">
        <f t="shared" si="2"/>
        <v>8.9859084909373299E-7</v>
      </c>
      <c r="Q22" s="39">
        <f t="shared" si="5"/>
        <v>-2.1546171949418032E-5</v>
      </c>
      <c r="R22" s="40">
        <f t="shared" si="6"/>
        <v>-2.1546171949418032E-5</v>
      </c>
      <c r="S22" s="40">
        <f t="shared" si="3"/>
        <v>-2.753287992056932E-5</v>
      </c>
      <c r="T22" s="40" t="e">
        <f t="shared" si="11"/>
        <v>#N/A</v>
      </c>
      <c r="U22" s="39">
        <f t="shared" si="4"/>
        <v>3.5666407920716161E-5</v>
      </c>
      <c r="V22" s="139">
        <f t="shared" si="7"/>
        <v>19.530128248781189</v>
      </c>
    </row>
    <row r="23" spans="1:22" ht="15.5">
      <c r="A23" s="42" t="s">
        <v>217</v>
      </c>
      <c r="B23" s="59" t="s">
        <v>83</v>
      </c>
      <c r="C23" s="60">
        <f>VLOOKUP(B18,Komponenten!A25:H26,8,FALSE)</f>
        <v>0.21760000000000002</v>
      </c>
      <c r="D23" s="55" t="s">
        <v>44</v>
      </c>
      <c r="E23" s="52"/>
      <c r="F23" s="8"/>
      <c r="G23" s="271" t="s">
        <v>100</v>
      </c>
      <c r="H23" s="272"/>
      <c r="I23" s="273"/>
      <c r="J23" s="274"/>
      <c r="K23" s="29"/>
      <c r="L23" s="5"/>
      <c r="M23" s="38">
        <f t="shared" si="12"/>
        <v>1.2</v>
      </c>
      <c r="N23" s="39">
        <f t="shared" si="0"/>
        <v>3.7422228923381986E-6</v>
      </c>
      <c r="O23" s="39">
        <f t="shared" si="1"/>
        <v>-3.1915665528316126E-6</v>
      </c>
      <c r="P23" s="39">
        <f t="shared" si="2"/>
        <v>8.6706860834329332E-7</v>
      </c>
      <c r="Q23" s="39">
        <f t="shared" si="5"/>
        <v>-1.1546912275078192E-5</v>
      </c>
      <c r="R23" s="40">
        <f t="shared" si="6"/>
        <v>-1.1546912275078192E-5</v>
      </c>
      <c r="S23" s="40">
        <f t="shared" si="3"/>
        <v>-1.4755277636761961E-5</v>
      </c>
      <c r="T23" s="40" t="e">
        <f t="shared" si="11"/>
        <v>#N/A</v>
      </c>
      <c r="U23" s="39">
        <f t="shared" si="4"/>
        <v>3.9881593879270325E-5</v>
      </c>
      <c r="V23" s="139">
        <f t="shared" si="7"/>
        <v>19.530128248781189</v>
      </c>
    </row>
    <row r="24" spans="1:22" ht="15.5">
      <c r="A24" s="45" t="s">
        <v>85</v>
      </c>
      <c r="B24" s="46"/>
      <c r="C24" s="56"/>
      <c r="D24" s="56"/>
      <c r="E24" s="46"/>
      <c r="F24" s="8"/>
      <c r="G24" s="275"/>
      <c r="H24" s="276" t="s">
        <v>218</v>
      </c>
      <c r="I24" s="277">
        <f>(4*C14*C15*C25/I22)^0.25</f>
        <v>1022.0186450470917</v>
      </c>
      <c r="J24" s="278" t="s">
        <v>29</v>
      </c>
      <c r="K24" s="29"/>
      <c r="L24" s="5"/>
      <c r="M24" s="38">
        <f t="shared" si="12"/>
        <v>1.3</v>
      </c>
      <c r="N24" s="39">
        <f t="shared" si="0"/>
        <v>4.1442212499409235E-6</v>
      </c>
      <c r="O24" s="39">
        <f t="shared" si="1"/>
        <v>2.3701888512637569E-7</v>
      </c>
      <c r="P24" s="39">
        <f t="shared" si="2"/>
        <v>7.9582056143708786E-7</v>
      </c>
      <c r="Q24" s="39">
        <f t="shared" si="5"/>
        <v>8.5752129206358782E-7</v>
      </c>
      <c r="R24" s="40">
        <f t="shared" si="6"/>
        <v>8.5752129206358782E-7</v>
      </c>
      <c r="S24" s="40">
        <f t="shared" si="3"/>
        <v>1.0957877259656758E-6</v>
      </c>
      <c r="T24" s="40" t="e">
        <f t="shared" si="11"/>
        <v>#N/A</v>
      </c>
      <c r="U24" s="39">
        <f t="shared" si="4"/>
        <v>4.416576820540949E-5</v>
      </c>
      <c r="V24" s="139">
        <f t="shared" si="7"/>
        <v>19.530128248781189</v>
      </c>
    </row>
    <row r="25" spans="1:22">
      <c r="A25" s="62" t="s">
        <v>87</v>
      </c>
      <c r="B25" s="63" t="s">
        <v>88</v>
      </c>
      <c r="C25" s="262">
        <f>IF(B18=Komponenten!A22,0.88,VLOOKUP(A7,Komponenten!A31:B32,2,FALSE))</f>
        <v>0.6</v>
      </c>
      <c r="D25" s="64" t="s">
        <v>15</v>
      </c>
      <c r="E25" s="162">
        <f>IF(a&gt;0,1,0)</f>
        <v>1</v>
      </c>
      <c r="F25" s="8"/>
      <c r="G25" s="151"/>
      <c r="H25" s="279"/>
      <c r="I25" s="280"/>
      <c r="J25" s="204"/>
      <c r="K25" s="162">
        <f>IF(cUntergrund&gt;0,1,0)</f>
        <v>1</v>
      </c>
      <c r="L25" s="5"/>
      <c r="M25" s="38">
        <f t="shared" si="12"/>
        <v>1.4000000000000001</v>
      </c>
      <c r="N25" s="39">
        <f t="shared" si="0"/>
        <v>4.545603759348537E-6</v>
      </c>
      <c r="O25" s="39">
        <f t="shared" si="1"/>
        <v>4.4016924687309648E-6</v>
      </c>
      <c r="P25" s="39">
        <f t="shared" si="2"/>
        <v>6.7607976618412469E-7</v>
      </c>
      <c r="Q25" s="39">
        <f t="shared" si="5"/>
        <v>1.5925081290633016E-5</v>
      </c>
      <c r="R25" s="40">
        <f t="shared" si="6"/>
        <v>1.5925081290633016E-5</v>
      </c>
      <c r="S25" s="40">
        <f t="shared" si="3"/>
        <v>2.0349942065330396E-5</v>
      </c>
      <c r="T25" s="40" t="e">
        <f t="shared" si="11"/>
        <v>#N/A</v>
      </c>
      <c r="U25" s="39">
        <f t="shared" si="4"/>
        <v>4.8443379318101638E-5</v>
      </c>
      <c r="V25" s="139">
        <f t="shared" si="7"/>
        <v>19.530128248781189</v>
      </c>
    </row>
    <row r="26" spans="1:22">
      <c r="A26" s="45" t="s">
        <v>90</v>
      </c>
      <c r="B26" s="82"/>
      <c r="C26" s="83"/>
      <c r="D26" s="160"/>
      <c r="E26" s="151"/>
      <c r="F26" s="8"/>
      <c r="G26" s="151"/>
      <c r="H26" s="211"/>
      <c r="I26" s="203"/>
      <c r="J26" s="204"/>
      <c r="K26" s="29"/>
      <c r="L26" s="5"/>
      <c r="M26" s="38">
        <f t="shared" si="12"/>
        <v>1.5000000000000002</v>
      </c>
      <c r="N26" s="39">
        <f t="shared" si="0"/>
        <v>4.937761816380139E-6</v>
      </c>
      <c r="O26" s="39">
        <f t="shared" si="1"/>
        <v>9.37362040372134E-6</v>
      </c>
      <c r="P26" s="39">
        <f t="shared" si="2"/>
        <v>4.9830718386103543E-7</v>
      </c>
      <c r="Q26" s="39">
        <f t="shared" si="5"/>
        <v>3.3913243139368087E-5</v>
      </c>
      <c r="R26" s="40">
        <f t="shared" si="6"/>
        <v>3.3913243139368087E-5</v>
      </c>
      <c r="S26" s="40">
        <f t="shared" si="3"/>
        <v>4.3336201589095419E-5</v>
      </c>
      <c r="T26" s="40" t="e">
        <f t="shared" si="11"/>
        <v>#N/A</v>
      </c>
      <c r="U26" s="39">
        <f t="shared" si="4"/>
        <v>5.2622683655916226E-5</v>
      </c>
      <c r="V26" s="139">
        <f t="shared" si="7"/>
        <v>19.530128248781189</v>
      </c>
    </row>
    <row r="27" spans="1:22" ht="15">
      <c r="A27" s="85" t="s">
        <v>174</v>
      </c>
      <c r="B27" s="144" t="s">
        <v>92</v>
      </c>
      <c r="C27" s="145">
        <f>MAX(N9:N311)</f>
        <v>1.8325770340106349</v>
      </c>
      <c r="D27" s="146" t="s">
        <v>93</v>
      </c>
      <c r="E27" s="49"/>
      <c r="F27" s="8"/>
      <c r="G27" s="1"/>
      <c r="H27" s="1"/>
      <c r="I27" s="1"/>
      <c r="J27" s="1"/>
      <c r="K27" s="29"/>
      <c r="L27" s="5"/>
      <c r="M27" s="38">
        <f t="shared" si="12"/>
        <v>1.6000000000000003</v>
      </c>
      <c r="N27" s="39">
        <f t="shared" si="0"/>
        <v>5.3104208375535412E-6</v>
      </c>
      <c r="O27" s="39">
        <f t="shared" si="1"/>
        <v>1.5222305787810142E-5</v>
      </c>
      <c r="P27" s="39">
        <f t="shared" si="2"/>
        <v>2.5231060061286679E-7</v>
      </c>
      <c r="Q27" s="39">
        <f t="shared" si="5"/>
        <v>5.5073465223625695E-5</v>
      </c>
      <c r="R27" s="40">
        <f t="shared" si="6"/>
        <v>5.5073465223625695E-5</v>
      </c>
      <c r="S27" s="40">
        <f t="shared" si="3"/>
        <v>7.0375893609848095E-5</v>
      </c>
      <c r="T27" s="40" t="e">
        <f t="shared" si="11"/>
        <v>#N/A</v>
      </c>
      <c r="U27" s="39">
        <f t="shared" si="4"/>
        <v>5.6594182993465806E-5</v>
      </c>
      <c r="V27" s="139">
        <f t="shared" si="7"/>
        <v>19.530128248781189</v>
      </c>
    </row>
    <row r="28" spans="1:22">
      <c r="E28" s="49"/>
      <c r="F28" s="8"/>
      <c r="G28" s="1"/>
      <c r="H28" s="1"/>
      <c r="I28" s="1"/>
      <c r="J28" s="1"/>
      <c r="K28" s="29"/>
      <c r="L28" s="5"/>
      <c r="M28" s="38">
        <f t="shared" si="12"/>
        <v>1.7000000000000004</v>
      </c>
      <c r="N28" s="39">
        <f t="shared" si="0"/>
        <v>5.6514971120139198E-6</v>
      </c>
      <c r="O28" s="39">
        <f t="shared" si="1"/>
        <v>2.2013761518642745E-5</v>
      </c>
      <c r="P28" s="39">
        <f t="shared" si="2"/>
        <v>-7.2579464980756957E-8</v>
      </c>
      <c r="Q28" s="39">
        <f t="shared" si="5"/>
        <v>7.9644578576855085E-5</v>
      </c>
      <c r="R28" s="40">
        <f t="shared" si="6"/>
        <v>7.9644578576855085E-5</v>
      </c>
      <c r="S28" s="40">
        <f t="shared" si="3"/>
        <v>1.0177420951753466E-4</v>
      </c>
      <c r="T28" s="40" t="e">
        <f t="shared" si="11"/>
        <v>#N/A</v>
      </c>
      <c r="U28" s="39">
        <f t="shared" si="4"/>
        <v>6.0229098884695417E-5</v>
      </c>
      <c r="V28" s="139">
        <f t="shared" si="7"/>
        <v>19.530128248781189</v>
      </c>
    </row>
    <row r="29" spans="1:22">
      <c r="A29" s="166" t="s">
        <v>96</v>
      </c>
      <c r="B29" s="162"/>
      <c r="C29" s="167"/>
      <c r="D29" s="162"/>
      <c r="E29" s="162"/>
      <c r="F29" s="8"/>
      <c r="G29" s="1"/>
      <c r="H29" s="1"/>
      <c r="I29" s="1"/>
      <c r="J29" s="1"/>
      <c r="K29" s="29"/>
      <c r="L29" s="5"/>
      <c r="M29" s="38">
        <f t="shared" si="12"/>
        <v>1.8000000000000005</v>
      </c>
      <c r="N29" s="39">
        <f t="shared" si="0"/>
        <v>5.946961912889531E-6</v>
      </c>
      <c r="O29" s="39">
        <f t="shared" si="1"/>
        <v>2.9808361971704705E-5</v>
      </c>
      <c r="P29" s="39">
        <f t="shared" si="2"/>
        <v>-4.8726690707997071E-7</v>
      </c>
      <c r="Q29" s="39">
        <f t="shared" si="5"/>
        <v>1.0784501436940921E-4</v>
      </c>
      <c r="R29" s="40">
        <f t="shared" si="6"/>
        <v>1.0784501436940921E-4</v>
      </c>
      <c r="S29" s="40">
        <f t="shared" si="3"/>
        <v>1.3781027263848686E-4</v>
      </c>
      <c r="T29" s="40" t="e">
        <f t="shared" si="11"/>
        <v>#N/A</v>
      </c>
      <c r="U29" s="39">
        <f t="shared" si="4"/>
        <v>6.3377924471291633E-5</v>
      </c>
      <c r="V29" s="139">
        <f t="shared" si="7"/>
        <v>19.530128248781189</v>
      </c>
    </row>
    <row r="30" spans="1:22" ht="15.5">
      <c r="A30" s="168" t="s">
        <v>98</v>
      </c>
      <c r="B30" s="162"/>
      <c r="C30" s="169" t="s">
        <v>99</v>
      </c>
      <c r="D30" s="170">
        <v>32</v>
      </c>
      <c r="E30" s="163" t="s">
        <v>15</v>
      </c>
      <c r="F30" s="8"/>
      <c r="G30" s="1"/>
      <c r="H30" s="1"/>
      <c r="I30" s="1"/>
      <c r="J30" s="1"/>
      <c r="K30" s="10"/>
      <c r="L30" s="5"/>
      <c r="M30" s="38">
        <f t="shared" si="12"/>
        <v>1.9000000000000006</v>
      </c>
      <c r="N30" s="39">
        <f t="shared" si="0"/>
        <v>6.1807173065975342E-6</v>
      </c>
      <c r="O30" s="39">
        <f t="shared" si="1"/>
        <v>3.865834937731457E-5</v>
      </c>
      <c r="P30" s="39">
        <f t="shared" si="2"/>
        <v>-1.0025698125513961E-6</v>
      </c>
      <c r="Q30" s="39">
        <f t="shared" si="5"/>
        <v>1.3986378211763593E-4</v>
      </c>
      <c r="R30" s="40">
        <f t="shared" si="6"/>
        <v>1.3986378211763593E-4</v>
      </c>
      <c r="S30" s="40">
        <f t="shared" si="3"/>
        <v>1.7872560969632256E-4</v>
      </c>
      <c r="T30" s="40" t="e">
        <f t="shared" si="11"/>
        <v>#N/A</v>
      </c>
      <c r="U30" s="39">
        <f t="shared" si="4"/>
        <v>6.5869100958410661E-5</v>
      </c>
      <c r="V30" s="139">
        <f t="shared" si="7"/>
        <v>19.530128248781189</v>
      </c>
    </row>
    <row r="31" spans="1:22" ht="15.5">
      <c r="A31" s="163" t="s">
        <v>101</v>
      </c>
      <c r="B31" s="162"/>
      <c r="C31" s="169" t="s">
        <v>102</v>
      </c>
      <c r="D31" s="171">
        <f>E11</f>
        <v>2.2999999999999998</v>
      </c>
      <c r="E31" s="163" t="s">
        <v>15</v>
      </c>
      <c r="F31" s="267"/>
      <c r="G31" s="1"/>
      <c r="H31" s="1"/>
      <c r="I31" s="1"/>
      <c r="J31" s="1"/>
      <c r="K31" s="268"/>
      <c r="L31" s="5"/>
      <c r="M31" s="38">
        <f t="shared" si="12"/>
        <v>2.0000000000000004</v>
      </c>
      <c r="N31" s="39">
        <f t="shared" si="0"/>
        <v>6.3344888110042973E-6</v>
      </c>
      <c r="O31" s="39">
        <f t="shared" si="1"/>
        <v>4.860497291417013E-5</v>
      </c>
      <c r="P31" s="39">
        <f t="shared" si="2"/>
        <v>-1.6288122406590121E-6</v>
      </c>
      <c r="Q31" s="39">
        <f t="shared" si="5"/>
        <v>1.758501190816575E-4</v>
      </c>
      <c r="R31" s="40">
        <f t="shared" si="6"/>
        <v>1.758501190816575E-4</v>
      </c>
      <c r="S31" s="40">
        <f t="shared" si="3"/>
        <v>2.2471092424489195E-4</v>
      </c>
      <c r="T31" s="40" t="e">
        <f t="shared" si="11"/>
        <v>#N/A</v>
      </c>
      <c r="U31" s="39">
        <f t="shared" si="4"/>
        <v>6.7507873651910801E-5</v>
      </c>
      <c r="V31" s="139">
        <f t="shared" si="7"/>
        <v>19.530128248781189</v>
      </c>
    </row>
    <row r="32" spans="1:22" ht="15.5">
      <c r="A32" s="163" t="s">
        <v>104</v>
      </c>
      <c r="B32" s="162"/>
      <c r="C32" s="169" t="s">
        <v>105</v>
      </c>
      <c r="D32" s="171">
        <f>(D30-D31)/2</f>
        <v>14.85</v>
      </c>
      <c r="E32" s="163" t="s">
        <v>15</v>
      </c>
      <c r="F32" s="267"/>
      <c r="G32" s="1"/>
      <c r="H32" s="1"/>
      <c r="I32" s="1"/>
      <c r="J32" s="1"/>
      <c r="K32" s="269"/>
      <c r="L32" s="5"/>
      <c r="M32" s="38">
        <f t="shared" si="12"/>
        <v>2.1000000000000005</v>
      </c>
      <c r="N32" s="39">
        <f t="shared" si="0"/>
        <v>6.3877408109430546E-6</v>
      </c>
      <c r="O32" s="39">
        <f t="shared" si="1"/>
        <v>5.967524154082828E-5</v>
      </c>
      <c r="P32" s="39">
        <f t="shared" si="2"/>
        <v>-2.3753174658898497E-6</v>
      </c>
      <c r="Q32" s="39">
        <f t="shared" si="5"/>
        <v>2.1590174218823546E-4</v>
      </c>
      <c r="R32" s="40">
        <f t="shared" si="6"/>
        <v>2.1590174218823546E-4</v>
      </c>
      <c r="S32" s="40">
        <f t="shared" si="3"/>
        <v>2.7589108433115247E-4</v>
      </c>
      <c r="T32" s="40" t="e">
        <f t="shared" si="11"/>
        <v>#N/A</v>
      </c>
      <c r="U32" s="39">
        <f t="shared" si="4"/>
        <v>6.8075390525148001E-5</v>
      </c>
      <c r="V32" s="139">
        <f t="shared" si="7"/>
        <v>19.530128248781189</v>
      </c>
    </row>
    <row r="33" spans="1:22" ht="22.5" customHeight="1">
      <c r="A33" s="163" t="s">
        <v>106</v>
      </c>
      <c r="B33" s="162"/>
      <c r="C33" s="172" t="s">
        <v>107</v>
      </c>
      <c r="D33" s="246">
        <f>D32+E11</f>
        <v>17.149999999999999</v>
      </c>
      <c r="E33" s="163" t="s">
        <v>15</v>
      </c>
      <c r="F33" s="270"/>
      <c r="G33" s="1"/>
      <c r="H33" s="1"/>
      <c r="I33" s="1"/>
      <c r="J33" s="1"/>
      <c r="K33" s="266"/>
      <c r="L33" s="5"/>
      <c r="M33" s="38">
        <f t="shared" si="12"/>
        <v>2.2000000000000006</v>
      </c>
      <c r="N33" s="39">
        <f t="shared" si="0"/>
        <v>6.3176214361838855E-6</v>
      </c>
      <c r="O33" s="39">
        <f t="shared" si="1"/>
        <v>7.1878275640459058E-5</v>
      </c>
      <c r="P33" s="39">
        <f t="shared" si="2"/>
        <v>-3.2497926476397207E-6</v>
      </c>
      <c r="Q33" s="39">
        <f t="shared" si="5"/>
        <v>2.6005164848212392E-4</v>
      </c>
      <c r="R33" s="40">
        <f t="shared" si="6"/>
        <v>2.6005164848212392E-4</v>
      </c>
      <c r="S33" s="40">
        <f t="shared" si="3"/>
        <v>3.3230825538816024E-4</v>
      </c>
      <c r="T33" s="40" t="e">
        <f t="shared" si="11"/>
        <v>#N/A</v>
      </c>
      <c r="U33" s="39">
        <f t="shared" si="4"/>
        <v>6.7328114772830037E-5</v>
      </c>
      <c r="V33" s="139">
        <f t="shared" si="7"/>
        <v>19.530128248781189</v>
      </c>
    </row>
    <row r="34" spans="1:22" ht="24.75" customHeight="1">
      <c r="A34" s="163"/>
      <c r="B34" s="162"/>
      <c r="C34" s="172"/>
      <c r="D34" s="163"/>
      <c r="E34" s="163"/>
      <c r="F34" s="266"/>
      <c r="G34" s="266"/>
      <c r="H34" s="266"/>
      <c r="I34" s="266"/>
      <c r="J34" s="266"/>
      <c r="K34" s="266"/>
      <c r="L34" s="5"/>
      <c r="M34" s="38">
        <f t="shared" si="12"/>
        <v>2.3000000000000007</v>
      </c>
      <c r="N34" s="39">
        <f t="shared" si="0"/>
        <v>6.0989444341431572E-6</v>
      </c>
      <c r="O34" s="39">
        <f t="shared" si="1"/>
        <v>8.5201247799573951E-5</v>
      </c>
      <c r="P34" s="39">
        <f t="shared" si="2"/>
        <v>-4.2575958891328507E-6</v>
      </c>
      <c r="Q34" s="39">
        <f t="shared" si="5"/>
        <v>3.0825342908673644E-4</v>
      </c>
      <c r="R34" s="40">
        <f t="shared" si="6"/>
        <v>3.0825342908673644E-4</v>
      </c>
      <c r="S34" s="40">
        <f t="shared" si="3"/>
        <v>3.9390313360875614E-4</v>
      </c>
      <c r="T34" s="40" t="e">
        <f t="shared" si="11"/>
        <v>#N/A</v>
      </c>
      <c r="U34" s="39">
        <f t="shared" si="4"/>
        <v>6.4997631624971484E-5</v>
      </c>
      <c r="V34" s="139">
        <f t="shared" si="7"/>
        <v>19.530128248781189</v>
      </c>
    </row>
    <row r="35" spans="1:22">
      <c r="A35" s="163"/>
      <c r="B35" s="162"/>
      <c r="C35" s="172"/>
      <c r="D35" s="163"/>
      <c r="E35" s="163"/>
      <c r="F35" s="266"/>
      <c r="G35" s="266"/>
      <c r="H35" s="266"/>
      <c r="I35" s="266"/>
      <c r="J35" s="266"/>
      <c r="K35" s="266"/>
      <c r="L35" s="5"/>
      <c r="M35" s="38">
        <f t="shared" si="12"/>
        <v>2.4000000000000008</v>
      </c>
      <c r="N35" s="39">
        <f t="shared" si="0"/>
        <v>5.7042164165627287E-6</v>
      </c>
      <c r="O35" s="39">
        <f t="shared" si="1"/>
        <v>9.9604909624991002E-5</v>
      </c>
      <c r="P35" s="39">
        <f t="shared" si="2"/>
        <v>-5.4008782511860781E-6</v>
      </c>
      <c r="Q35" s="39">
        <f t="shared" si="5"/>
        <v>3.6036508547391822E-4</v>
      </c>
      <c r="R35" s="40">
        <f t="shared" si="6"/>
        <v>3.6036508547391822E-4</v>
      </c>
      <c r="S35" s="40">
        <f t="shared" si="3"/>
        <v>4.6049426548770689E-4</v>
      </c>
      <c r="T35" s="40" t="e">
        <f t="shared" si="11"/>
        <v>#N/A</v>
      </c>
      <c r="U35" s="39">
        <f t="shared" si="4"/>
        <v>6.0790938720029083E-5</v>
      </c>
      <c r="V35" s="139">
        <f t="shared" si="7"/>
        <v>19.530128248781189</v>
      </c>
    </row>
    <row r="36" spans="1:22" ht="15.5">
      <c r="A36" s="339" t="s">
        <v>112</v>
      </c>
      <c r="B36" s="339"/>
      <c r="C36" s="169" t="s">
        <v>113</v>
      </c>
      <c r="D36" s="170">
        <v>0</v>
      </c>
      <c r="E36" s="163" t="s">
        <v>66</v>
      </c>
      <c r="F36" s="266"/>
      <c r="G36" s="266"/>
      <c r="H36" s="266"/>
      <c r="I36" s="266"/>
      <c r="J36" s="266"/>
      <c r="K36" s="266"/>
      <c r="L36" s="5"/>
      <c r="M36" s="38">
        <f t="shared" si="12"/>
        <v>2.5000000000000009</v>
      </c>
      <c r="N36" s="39">
        <f t="shared" si="0"/>
        <v>5.1037187124642664E-6</v>
      </c>
      <c r="O36" s="39">
        <f t="shared" si="1"/>
        <v>1.1501870957524187E-4</v>
      </c>
      <c r="P36" s="39">
        <f t="shared" si="2"/>
        <v>-6.677595609266833E-6</v>
      </c>
      <c r="Q36" s="39">
        <f t="shared" si="5"/>
        <v>4.1613136604646119E-4</v>
      </c>
      <c r="R36" s="40">
        <f t="shared" si="6"/>
        <v>4.1613136604646119E-4</v>
      </c>
      <c r="S36" s="40">
        <f t="shared" si="3"/>
        <v>5.3175547653833502E-4</v>
      </c>
      <c r="T36" s="40" t="e">
        <f t="shared" si="11"/>
        <v>#N/A</v>
      </c>
      <c r="U36" s="39">
        <f t="shared" si="4"/>
        <v>5.4391318427683122E-5</v>
      </c>
      <c r="V36" s="139">
        <f t="shared" si="7"/>
        <v>19.530128248781189</v>
      </c>
    </row>
    <row r="37" spans="1:22">
      <c r="A37" s="339" t="s">
        <v>114</v>
      </c>
      <c r="B37" s="339"/>
      <c r="C37" s="169" t="s">
        <v>115</v>
      </c>
      <c r="D37" s="170">
        <v>0.1</v>
      </c>
      <c r="E37" s="163" t="s">
        <v>15</v>
      </c>
      <c r="F37" s="266"/>
      <c r="G37" s="266"/>
      <c r="H37" s="266"/>
      <c r="I37" s="266"/>
      <c r="J37" s="266"/>
      <c r="K37" s="266"/>
      <c r="L37" s="106"/>
      <c r="M37" s="159">
        <f t="shared" si="12"/>
        <v>2.600000000000001</v>
      </c>
      <c r="N37" s="39">
        <f t="shared" si="0"/>
        <v>4.2656539022075751E-6</v>
      </c>
      <c r="O37" s="39">
        <f t="shared" si="1"/>
        <v>1.3133551649428322E-4</v>
      </c>
      <c r="P37" s="39">
        <f t="shared" si="2"/>
        <v>-8.0803884069168914E-6</v>
      </c>
      <c r="Q37" s="39">
        <f t="shared" si="5"/>
        <v>4.7516467617323885E-4</v>
      </c>
      <c r="R37" s="40">
        <f t="shared" si="6"/>
        <v>4.7516467617323885E-4</v>
      </c>
      <c r="S37" s="40">
        <f t="shared" si="3"/>
        <v>6.0719147708868798E-4</v>
      </c>
      <c r="T37" s="40" t="e">
        <f t="shared" si="11"/>
        <v>#N/A</v>
      </c>
      <c r="U37" s="39">
        <f t="shared" si="4"/>
        <v>4.5459899490666873E-5</v>
      </c>
      <c r="V37" s="139">
        <f t="shared" si="7"/>
        <v>19.530128248781189</v>
      </c>
    </row>
    <row r="38" spans="1:22">
      <c r="A38" s="163"/>
      <c r="B38" s="162"/>
      <c r="C38" s="164"/>
      <c r="D38" s="165"/>
      <c r="E38" s="162"/>
      <c r="F38" s="266"/>
      <c r="G38" s="266"/>
      <c r="H38" s="266"/>
      <c r="I38" s="266"/>
      <c r="J38" s="266"/>
      <c r="K38" s="266"/>
      <c r="L38" s="1"/>
      <c r="M38" s="159">
        <f t="shared" si="12"/>
        <v>2.7000000000000011</v>
      </c>
      <c r="N38" s="39">
        <f t="shared" si="0"/>
        <v>3.1563679193776553E-6</v>
      </c>
      <c r="O38" s="39">
        <f t="shared" si="1"/>
        <v>1.4840597503606304E-4</v>
      </c>
      <c r="P38" s="39">
        <f t="shared" si="2"/>
        <v>-9.5953314920773626E-6</v>
      </c>
      <c r="Q38" s="39">
        <f t="shared" si="5"/>
        <v>5.3692465642569845E-4</v>
      </c>
      <c r="R38" s="40">
        <f t="shared" si="6"/>
        <v>5.3692465642569845E-4</v>
      </c>
      <c r="S38" s="40">
        <f t="shared" si="3"/>
        <v>6.8611176623237648E-4</v>
      </c>
      <c r="T38" s="40" t="e">
        <f t="shared" si="11"/>
        <v>#N/A</v>
      </c>
      <c r="U38" s="39">
        <f t="shared" si="4"/>
        <v>3.3638024007577141E-5</v>
      </c>
      <c r="V38" s="139">
        <f t="shared" si="7"/>
        <v>19.530128248781189</v>
      </c>
    </row>
    <row r="39" spans="1:2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1"/>
      <c r="M39" s="159">
        <f t="shared" si="12"/>
        <v>2.8000000000000012</v>
      </c>
      <c r="N39" s="39">
        <f t="shared" si="0"/>
        <v>1.7406593647358856E-6</v>
      </c>
      <c r="O39" s="39">
        <f t="shared" si="1"/>
        <v>1.6603253260206056E-4</v>
      </c>
      <c r="P39" s="39">
        <f t="shared" si="2"/>
        <v>-1.1200561453956582E-5</v>
      </c>
      <c r="Q39" s="39">
        <f t="shared" si="5"/>
        <v>6.0069657236635511E-4</v>
      </c>
      <c r="R39" s="40">
        <f t="shared" si="6"/>
        <v>6.0069657236635511E-4</v>
      </c>
      <c r="S39" s="40">
        <f t="shared" si="3"/>
        <v>7.6760301711539791E-4</v>
      </c>
      <c r="T39" s="40" t="e">
        <f t="shared" si="11"/>
        <v>#N/A</v>
      </c>
      <c r="U39" s="39">
        <f t="shared" si="4"/>
        <v>1.8550543851536969E-5</v>
      </c>
      <c r="V39" s="139">
        <f t="shared" si="7"/>
        <v>19.530128248781189</v>
      </c>
    </row>
    <row r="40" spans="1:2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1"/>
      <c r="M40" s="159">
        <f t="shared" si="12"/>
        <v>2.9000000000000012</v>
      </c>
      <c r="N40" s="39">
        <f t="shared" si="0"/>
        <v>-1.7811648162636207E-8</v>
      </c>
      <c r="O40" s="39">
        <f t="shared" si="1"/>
        <v>1.8396319291454937E-4</v>
      </c>
      <c r="P40" s="39">
        <f t="shared" si="2"/>
        <v>-1.2864795333319468E-5</v>
      </c>
      <c r="Q40" s="39">
        <f t="shared" si="5"/>
        <v>6.655687153203667E-4</v>
      </c>
      <c r="R40" s="40">
        <f t="shared" si="6"/>
        <v>6.655687153203667E-4</v>
      </c>
      <c r="S40" s="40">
        <f t="shared" si="3"/>
        <v>8.5050019840290968E-4</v>
      </c>
      <c r="T40" s="40" t="e">
        <f t="shared" si="11"/>
        <v>#N/A</v>
      </c>
      <c r="U40" s="39">
        <f t="shared" si="4"/>
        <v>-1.8982218290553684E-7</v>
      </c>
      <c r="V40" s="139">
        <f t="shared" si="7"/>
        <v>19.530128248781189</v>
      </c>
    </row>
    <row r="41" spans="1:2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1"/>
      <c r="M41" s="38">
        <f t="shared" si="12"/>
        <v>3.0000000000000013</v>
      </c>
      <c r="N41" s="39">
        <f t="shared" si="0"/>
        <v>-2.1560022348696077E-6</v>
      </c>
      <c r="O41" s="39">
        <f t="shared" si="1"/>
        <v>2.0188506903547407E-4</v>
      </c>
      <c r="P41" s="39">
        <f t="shared" si="2"/>
        <v>-1.4545762377451698E-5</v>
      </c>
      <c r="Q41" s="39">
        <f t="shared" si="5"/>
        <v>7.3040907755236634E-4</v>
      </c>
      <c r="R41" s="40">
        <f t="shared" si="6"/>
        <v>7.3040907755236634E-4</v>
      </c>
      <c r="S41" s="40">
        <f t="shared" si="3"/>
        <v>9.3335676854125775E-4</v>
      </c>
      <c r="T41" s="40" t="e">
        <f t="shared" si="11"/>
        <v>#N/A</v>
      </c>
      <c r="U41" s="39">
        <f t="shared" si="4"/>
        <v>-2.2976933231292443E-5</v>
      </c>
      <c r="V41" s="139">
        <f t="shared" si="7"/>
        <v>19.530128248781189</v>
      </c>
    </row>
    <row r="42" spans="1:2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109"/>
      <c r="M42" s="38">
        <f t="shared" si="12"/>
        <v>3.1000000000000014</v>
      </c>
      <c r="N42" s="39">
        <f t="shared" si="0"/>
        <v>-4.7108397781138242E-6</v>
      </c>
      <c r="O42" s="39">
        <f t="shared" si="1"/>
        <v>2.1941782861360849E-4</v>
      </c>
      <c r="P42" s="39">
        <f t="shared" si="2"/>
        <v>-1.6188579757763412E-5</v>
      </c>
      <c r="Q42" s="39">
        <f t="shared" si="5"/>
        <v>7.9384163753114505E-4</v>
      </c>
      <c r="R42" s="40">
        <f t="shared" si="6"/>
        <v>7.9384163753114505E-4</v>
      </c>
      <c r="S42" s="40">
        <f t="shared" si="3"/>
        <v>1.0144143717688789E-3</v>
      </c>
      <c r="T42" s="40" t="e">
        <f t="shared" si="11"/>
        <v>#N/A</v>
      </c>
      <c r="U42" s="39">
        <f t="shared" si="4"/>
        <v>-5.0204331560715714E-5</v>
      </c>
      <c r="V42" s="139">
        <f t="shared" si="7"/>
        <v>19.530128248781189</v>
      </c>
    </row>
    <row r="43" spans="1:22">
      <c r="A43" s="162"/>
      <c r="B43" s="162"/>
      <c r="C43" s="162"/>
      <c r="D43" s="162"/>
      <c r="E43" s="162"/>
      <c r="F43" s="162"/>
      <c r="G43" s="162"/>
      <c r="H43" s="49"/>
      <c r="I43" s="49"/>
      <c r="J43" s="49"/>
      <c r="K43" s="49"/>
      <c r="L43" s="30"/>
      <c r="M43" s="38">
        <f t="shared" si="12"/>
        <v>3.2000000000000015</v>
      </c>
      <c r="N43" s="39">
        <f t="shared" si="0"/>
        <v>-7.7184357520832809E-6</v>
      </c>
      <c r="O43" s="39">
        <f t="shared" si="1"/>
        <v>2.3610714647346961E-4</v>
      </c>
      <c r="P43" s="39">
        <f t="shared" si="2"/>
        <v>-1.7724113946764359E-5</v>
      </c>
      <c r="Q43" s="39">
        <f t="shared" si="5"/>
        <v>8.5422267175640232E-4</v>
      </c>
      <c r="R43" s="40">
        <f t="shared" si="6"/>
        <v>8.5422267175640232E-4</v>
      </c>
      <c r="S43" s="40">
        <f t="shared" si="3"/>
        <v>1.0915725680696699E-3</v>
      </c>
      <c r="T43" s="40" t="e">
        <f t="shared" si="11"/>
        <v>#N/A</v>
      </c>
      <c r="U43" s="39">
        <f t="shared" si="4"/>
        <v>-8.2256864142983454E-5</v>
      </c>
      <c r="V43" s="139">
        <f t="shared" si="7"/>
        <v>19.530128248781189</v>
      </c>
    </row>
    <row r="44" spans="1:22">
      <c r="A44" s="162"/>
      <c r="B44" s="162"/>
      <c r="C44" s="162"/>
      <c r="D44" s="162"/>
      <c r="E44" s="162"/>
      <c r="F44" s="162"/>
      <c r="G44" s="162"/>
      <c r="H44" s="49"/>
      <c r="I44" s="49"/>
      <c r="J44" s="49"/>
      <c r="K44" s="49"/>
      <c r="L44" s="30"/>
      <c r="M44" s="38">
        <f t="shared" si="12"/>
        <v>3.3000000000000016</v>
      </c>
      <c r="N44" s="39">
        <f t="shared" si="0"/>
        <v>-1.1213146842365826E-5</v>
      </c>
      <c r="O44" s="39">
        <f t="shared" si="1"/>
        <v>2.5141830438631091E-4</v>
      </c>
      <c r="P44" s="39">
        <f t="shared" si="2"/>
        <v>-1.9067381815124299E-5</v>
      </c>
      <c r="Q44" s="39">
        <f t="shared" si="5"/>
        <v>9.0961759908216684E-4</v>
      </c>
      <c r="R44" s="40">
        <f t="shared" si="6"/>
        <v>9.0961759908216684E-4</v>
      </c>
      <c r="S44" s="40">
        <f t="shared" si="3"/>
        <v>1.1623592435798008E-3</v>
      </c>
      <c r="T44" s="40" t="e">
        <f t="shared" si="11"/>
        <v>#N/A</v>
      </c>
      <c r="U44" s="39">
        <f t="shared" si="4"/>
        <v>-1.1950067682805499E-4</v>
      </c>
      <c r="V44" s="139">
        <f t="shared" si="7"/>
        <v>19.530128248781189</v>
      </c>
    </row>
    <row r="45" spans="1:22">
      <c r="A45" s="162"/>
      <c r="B45" s="162"/>
      <c r="C45" s="162"/>
      <c r="D45" s="162"/>
      <c r="E45" s="162"/>
      <c r="F45" s="162"/>
      <c r="G45" s="162"/>
      <c r="H45" s="49"/>
      <c r="I45" s="49"/>
      <c r="J45" s="49"/>
      <c r="K45" s="49"/>
      <c r="L45" s="30"/>
      <c r="M45" s="38">
        <f t="shared" si="12"/>
        <v>3.4000000000000017</v>
      </c>
      <c r="N45" s="39">
        <f t="shared" si="0"/>
        <v>-1.5226470179461504E-5</v>
      </c>
      <c r="O45" s="39">
        <f t="shared" si="1"/>
        <v>2.6473010498235725E-4</v>
      </c>
      <c r="P45" s="39">
        <f t="shared" si="2"/>
        <v>-2.011605947077175E-5</v>
      </c>
      <c r="Q45" s="39">
        <f t="shared" si="5"/>
        <v>9.5777896158595241E-4</v>
      </c>
      <c r="R45" s="40">
        <f t="shared" si="6"/>
        <v>9.5777896158595241E-4</v>
      </c>
      <c r="S45" s="40">
        <f t="shared" si="3"/>
        <v>1.2239024733349849E-3</v>
      </c>
      <c r="T45" s="40" t="e">
        <f t="shared" si="11"/>
        <v>#N/A</v>
      </c>
      <c r="U45" s="39">
        <f t="shared" si="4"/>
        <v>-1.6227144063369277E-4</v>
      </c>
      <c r="V45" s="139">
        <f t="shared" si="7"/>
        <v>19.530128248781189</v>
      </c>
    </row>
    <row r="46" spans="1:22">
      <c r="A46" s="162"/>
      <c r="B46" s="162"/>
      <c r="C46" s="162"/>
      <c r="D46" s="162"/>
      <c r="E46" s="162"/>
      <c r="F46" s="162"/>
      <c r="G46" s="162"/>
      <c r="H46" s="49"/>
      <c r="I46" s="49"/>
      <c r="J46" s="49"/>
      <c r="K46" s="49"/>
      <c r="L46" s="30"/>
      <c r="M46" s="38">
        <f t="shared" si="12"/>
        <v>3.5000000000000018</v>
      </c>
      <c r="N46" s="39">
        <f t="shared" si="0"/>
        <v>-1.9785760157272168E-5</v>
      </c>
      <c r="O46" s="39">
        <f t="shared" si="1"/>
        <v>2.7532929621852561E-4</v>
      </c>
      <c r="P46" s="39">
        <f t="shared" si="2"/>
        <v>-2.0749182379263558E-5</v>
      </c>
      <c r="Q46" s="39">
        <f t="shared" si="5"/>
        <v>9.9612625259958617E-4</v>
      </c>
      <c r="R46" s="40">
        <f t="shared" si="6"/>
        <v>9.9612625259958617E-4</v>
      </c>
      <c r="S46" s="40">
        <f t="shared" si="3"/>
        <v>1.2729047444222175E-3</v>
      </c>
      <c r="T46" s="40" t="e">
        <f t="shared" si="11"/>
        <v>#N/A</v>
      </c>
      <c r="U46" s="39">
        <f t="shared" si="4"/>
        <v>-2.1086067663167498E-4</v>
      </c>
      <c r="V46" s="139">
        <f t="shared" si="7"/>
        <v>19.530128248781189</v>
      </c>
    </row>
    <row r="47" spans="1:22">
      <c r="A47" s="162"/>
      <c r="B47" s="162"/>
      <c r="C47" s="162"/>
      <c r="D47" s="162"/>
      <c r="E47" s="162"/>
      <c r="F47" s="162"/>
      <c r="G47" s="162"/>
      <c r="H47" s="49"/>
      <c r="I47" s="49"/>
      <c r="J47" s="49"/>
      <c r="K47" s="49"/>
      <c r="L47" s="30"/>
      <c r="M47" s="38">
        <f t="shared" si="12"/>
        <v>3.6000000000000019</v>
      </c>
      <c r="N47" s="39">
        <f t="shared" si="0"/>
        <v>-2.4912755367261909E-5</v>
      </c>
      <c r="O47" s="39">
        <f t="shared" si="1"/>
        <v>2.8240573449030761E-4</v>
      </c>
      <c r="P47" s="39">
        <f t="shared" si="2"/>
        <v>-2.0826137269842401E-5</v>
      </c>
      <c r="Q47" s="39">
        <f t="shared" si="5"/>
        <v>1.0217284171139928E-3</v>
      </c>
      <c r="R47" s="40">
        <f t="shared" si="6"/>
        <v>1.0217284171139928E-3</v>
      </c>
      <c r="S47" s="40">
        <f t="shared" si="3"/>
        <v>1.305620594037483E-3</v>
      </c>
      <c r="T47" s="40" t="e">
        <f t="shared" si="11"/>
        <v>#N/A</v>
      </c>
      <c r="U47" s="39">
        <f t="shared" si="4"/>
        <v>-2.6550005719994932E-4</v>
      </c>
      <c r="V47" s="139">
        <f t="shared" si="7"/>
        <v>19.530128248781189</v>
      </c>
    </row>
    <row r="48" spans="1:22">
      <c r="A48" s="162"/>
      <c r="B48" s="162"/>
      <c r="C48" s="162"/>
      <c r="D48" s="162"/>
      <c r="E48" s="162"/>
      <c r="F48" s="162"/>
      <c r="G48" s="162"/>
      <c r="H48" s="49"/>
      <c r="I48" s="49"/>
      <c r="J48" s="49"/>
      <c r="K48" s="49"/>
      <c r="L48" s="30"/>
      <c r="M48" s="38">
        <f t="shared" si="12"/>
        <v>3.700000000000002</v>
      </c>
      <c r="N48" s="39">
        <f t="shared" si="0"/>
        <v>-3.0621905709430662E-5</v>
      </c>
      <c r="O48" s="39">
        <f t="shared" si="1"/>
        <v>2.8504854818111843E-4</v>
      </c>
      <c r="P48" s="39">
        <f t="shared" si="2"/>
        <v>-2.0186064554434036E-5</v>
      </c>
      <c r="Q48" s="39">
        <f t="shared" si="5"/>
        <v>1.0312899717117164E-3</v>
      </c>
      <c r="R48" s="40">
        <f t="shared" si="6"/>
        <v>1.0312899717117164E-3</v>
      </c>
      <c r="S48" s="40">
        <f t="shared" si="3"/>
        <v>1.3178388727744725E-3</v>
      </c>
      <c r="T48" s="40" t="e">
        <f t="shared" si="11"/>
        <v>#N/A</v>
      </c>
      <c r="U48" s="39">
        <f t="shared" si="4"/>
        <v>-3.2634357772039782E-4</v>
      </c>
      <c r="V48" s="139">
        <f t="shared" si="7"/>
        <v>19.530128248781189</v>
      </c>
    </row>
    <row r="49" spans="1:22">
      <c r="A49" s="162" t="s">
        <v>116</v>
      </c>
      <c r="B49" s="162" t="s">
        <v>17</v>
      </c>
      <c r="C49" s="162" t="s">
        <v>117</v>
      </c>
      <c r="D49" s="162" t="s">
        <v>118</v>
      </c>
      <c r="E49" s="162"/>
      <c r="F49" s="162"/>
      <c r="G49" s="162"/>
      <c r="H49" s="49"/>
      <c r="I49" s="49"/>
      <c r="J49" s="49"/>
      <c r="K49" s="49"/>
      <c r="L49" s="5"/>
      <c r="M49" s="38">
        <f t="shared" si="12"/>
        <v>3.800000000000002</v>
      </c>
      <c r="N49" s="39">
        <f t="shared" si="0"/>
        <v>-3.691849181235875E-5</v>
      </c>
      <c r="O49" s="39">
        <f t="shared" si="1"/>
        <v>2.822435989044086E-4</v>
      </c>
      <c r="P49" s="39">
        <f t="shared" si="2"/>
        <v>-1.8647809178352676E-5</v>
      </c>
      <c r="Q49" s="39">
        <f t="shared" si="5"/>
        <v>1.0211418194804942E-3</v>
      </c>
      <c r="R49" s="40">
        <f t="shared" si="6"/>
        <v>1.0211418194804942E-3</v>
      </c>
      <c r="S49" s="40">
        <f t="shared" si="3"/>
        <v>1.3048710074175154E-3</v>
      </c>
      <c r="T49" s="40" t="e">
        <f t="shared" si="11"/>
        <v>#N/A</v>
      </c>
      <c r="U49" s="39">
        <f t="shared" si="4"/>
        <v>-3.9344751487416078E-4</v>
      </c>
      <c r="V49" s="139">
        <f t="shared" si="7"/>
        <v>19.530128248781189</v>
      </c>
    </row>
    <row r="50" spans="1:22">
      <c r="A50" s="163" t="s">
        <v>25</v>
      </c>
      <c r="B50" s="162" t="e">
        <f>x_1</f>
        <v>#REF!</v>
      </c>
      <c r="C50" s="162">
        <v>0</v>
      </c>
      <c r="D50" s="162">
        <v>-5.0000000000000001E-3</v>
      </c>
      <c r="E50" s="162" t="e">
        <f>D50*Achslast_1/2</f>
        <v>#REF!</v>
      </c>
      <c r="F50" s="162"/>
      <c r="G50" s="162"/>
      <c r="H50" s="49"/>
      <c r="I50" s="49"/>
      <c r="J50" s="49"/>
      <c r="K50" s="49"/>
      <c r="L50" s="5"/>
      <c r="M50" s="38">
        <f t="shared" si="12"/>
        <v>3.9000000000000021</v>
      </c>
      <c r="N50" s="39">
        <f t="shared" si="0"/>
        <v>-4.3796531579502251E-5</v>
      </c>
      <c r="O50" s="39">
        <f t="shared" si="1"/>
        <v>2.7287257454414806E-4</v>
      </c>
      <c r="P50" s="39">
        <f t="shared" si="2"/>
        <v>-1.601057757618354E-5</v>
      </c>
      <c r="Q50" s="39">
        <f t="shared" si="5"/>
        <v>9.8723796868360378E-4</v>
      </c>
      <c r="R50" s="40">
        <f t="shared" si="6"/>
        <v>9.8723796868360378E-4</v>
      </c>
      <c r="S50" s="40">
        <f t="shared" si="3"/>
        <v>1.2615468078786317E-3</v>
      </c>
      <c r="T50" s="40" t="e">
        <f t="shared" si="11"/>
        <v>#N/A</v>
      </c>
      <c r="U50" s="39">
        <f t="shared" si="4"/>
        <v>-4.6674811630020163E-4</v>
      </c>
      <c r="V50" s="139">
        <f t="shared" si="7"/>
        <v>19.530128248781189</v>
      </c>
    </row>
    <row r="51" spans="1:22">
      <c r="A51" s="163" t="s">
        <v>32</v>
      </c>
      <c r="B51" s="162" t="e">
        <f>x_2</f>
        <v>#REF!</v>
      </c>
      <c r="C51" s="162">
        <v>0</v>
      </c>
      <c r="D51" s="162">
        <v>-5.0000000000000001E-3</v>
      </c>
      <c r="E51" s="162" t="e">
        <f>D51*Achslast_2/2</f>
        <v>#REF!</v>
      </c>
      <c r="F51" s="162"/>
      <c r="G51" s="162"/>
      <c r="H51" s="49"/>
      <c r="I51" s="49"/>
      <c r="J51" s="49"/>
      <c r="K51" s="49"/>
      <c r="L51" s="5"/>
      <c r="M51" s="38">
        <f t="shared" si="12"/>
        <v>4.0000000000000018</v>
      </c>
      <c r="N51" s="39">
        <f t="shared" si="0"/>
        <v>-5.1236472053639181E-5</v>
      </c>
      <c r="O51" s="39">
        <f t="shared" si="1"/>
        <v>2.5571408596006305E-4</v>
      </c>
      <c r="P51" s="39">
        <f t="shared" si="2"/>
        <v>-1.205547818342962E-5</v>
      </c>
      <c r="Q51" s="39">
        <f t="shared" si="5"/>
        <v>9.2515950057909927E-4</v>
      </c>
      <c r="R51" s="40">
        <f t="shared" si="6"/>
        <v>9.2515950057909927E-4</v>
      </c>
      <c r="S51" s="40">
        <f t="shared" si="3"/>
        <v>1.1822195374945124E-3</v>
      </c>
      <c r="T51" s="40" t="e">
        <f t="shared" si="11"/>
        <v>#N/A</v>
      </c>
      <c r="U51" s="39">
        <f t="shared" si="4"/>
        <v>-5.4603700234784206E-4</v>
      </c>
      <c r="V51" s="139">
        <f t="shared" si="7"/>
        <v>19.530128248781189</v>
      </c>
    </row>
    <row r="52" spans="1:22">
      <c r="A52" s="163" t="s">
        <v>35</v>
      </c>
      <c r="B52" s="162" t="e">
        <f>x_3</f>
        <v>#REF!</v>
      </c>
      <c r="C52" s="162">
        <v>0</v>
      </c>
      <c r="D52" s="162">
        <v>-5.0000000000000001E-3</v>
      </c>
      <c r="E52" s="162" t="e">
        <f>D52*Achslast_3/2</f>
        <v>#REF!</v>
      </c>
      <c r="F52" s="162"/>
      <c r="G52" s="162"/>
      <c r="H52" s="49"/>
      <c r="I52" s="49"/>
      <c r="J52" s="49"/>
      <c r="K52" s="49"/>
      <c r="L52" s="5"/>
      <c r="M52" s="38">
        <f t="shared" si="12"/>
        <v>4.1000000000000014</v>
      </c>
      <c r="N52" s="39">
        <f t="shared" si="0"/>
        <v>-5.9202668933701393E-5</v>
      </c>
      <c r="O52" s="39">
        <f t="shared" si="1"/>
        <v>2.294471772944814E-4</v>
      </c>
      <c r="P52" s="39">
        <f t="shared" si="2"/>
        <v>-6.5481420587294977E-6</v>
      </c>
      <c r="Q52" s="39">
        <f t="shared" si="5"/>
        <v>8.3012726951693704E-4</v>
      </c>
      <c r="R52" s="40">
        <f t="shared" si="6"/>
        <v>8.3012726951693704E-4</v>
      </c>
      <c r="S52" s="40">
        <f t="shared" si="3"/>
        <v>1.0607821419069876E-3</v>
      </c>
      <c r="T52" s="40" t="e">
        <f t="shared" si="11"/>
        <v>#N/A</v>
      </c>
      <c r="U52" s="39">
        <f t="shared" si="4"/>
        <v>-6.3093430479965957E-4</v>
      </c>
      <c r="V52" s="139">
        <f t="shared" si="7"/>
        <v>19.530128248781189</v>
      </c>
    </row>
    <row r="53" spans="1:22">
      <c r="A53" s="163" t="s">
        <v>40</v>
      </c>
      <c r="B53" s="162" t="e">
        <f>x4_</f>
        <v>#REF!</v>
      </c>
      <c r="C53" s="162">
        <v>0</v>
      </c>
      <c r="D53" s="162">
        <v>-5.0000000000000001E-3</v>
      </c>
      <c r="E53" s="162" t="e">
        <f>D53*Achslast_4/2</f>
        <v>#REF!</v>
      </c>
      <c r="F53" s="162"/>
      <c r="G53" s="162"/>
      <c r="H53" s="49"/>
      <c r="I53" s="49"/>
      <c r="J53" s="49"/>
      <c r="K53" s="49"/>
      <c r="L53" s="5"/>
      <c r="M53" s="38">
        <f t="shared" si="12"/>
        <v>4.2000000000000011</v>
      </c>
      <c r="N53" s="39">
        <f t="shared" si="0"/>
        <v>-6.7640661066656585E-5</v>
      </c>
      <c r="O53" s="39">
        <f t="shared" si="1"/>
        <v>1.9265769746102694E-4</v>
      </c>
      <c r="P53" s="39">
        <f t="shared" si="2"/>
        <v>7.5736226636076929E-7</v>
      </c>
      <c r="Q53" s="39">
        <f t="shared" si="5"/>
        <v>6.9702495463468508E-4</v>
      </c>
      <c r="R53" s="40">
        <f t="shared" si="6"/>
        <v>6.9702495463468508E-4</v>
      </c>
      <c r="S53" s="40">
        <f t="shared" si="3"/>
        <v>8.9069670578375843E-4</v>
      </c>
      <c r="T53" s="40" t="e">
        <f t="shared" si="11"/>
        <v>#N/A</v>
      </c>
      <c r="U53" s="39">
        <f t="shared" si="4"/>
        <v>-7.2085962060380025E-4</v>
      </c>
      <c r="V53" s="139">
        <f t="shared" si="7"/>
        <v>19.530128248781189</v>
      </c>
    </row>
    <row r="54" spans="1:22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5"/>
      <c r="M54" s="38">
        <f t="shared" si="12"/>
        <v>4.3000000000000007</v>
      </c>
      <c r="N54" s="39">
        <f t="shared" si="0"/>
        <v>-7.6474253149160231E-5</v>
      </c>
      <c r="O54" s="39">
        <f t="shared" si="1"/>
        <v>1.438480167244845E-4</v>
      </c>
      <c r="P54" s="39">
        <f t="shared" si="2"/>
        <v>1.0113090634401246E-5</v>
      </c>
      <c r="Q54" s="39">
        <f t="shared" si="5"/>
        <v>5.2043421390913353E-4</v>
      </c>
      <c r="R54" s="40">
        <f t="shared" si="6"/>
        <v>5.2043421390913353E-4</v>
      </c>
      <c r="S54" s="40">
        <f t="shared" si="3"/>
        <v>6.6503937459308602E-4</v>
      </c>
      <c r="T54" s="40" t="e">
        <f t="shared" si="11"/>
        <v>#N/A</v>
      </c>
      <c r="U54" s="39">
        <f t="shared" si="4"/>
        <v>-8.1500092166067743E-4</v>
      </c>
      <c r="V54" s="139">
        <f t="shared" si="7"/>
        <v>19.530128248781189</v>
      </c>
    </row>
    <row r="55" spans="1:22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5"/>
      <c r="M55" s="38">
        <f t="shared" si="12"/>
        <v>4.4000000000000004</v>
      </c>
      <c r="N55" s="39">
        <f t="shared" si="0"/>
        <v>-8.5602426784187009E-5</v>
      </c>
      <c r="O55" s="39">
        <f t="shared" si="1"/>
        <v>8.1450606244653655E-5</v>
      </c>
      <c r="P55" s="39">
        <f t="shared" si="2"/>
        <v>2.1770021646206068E-5</v>
      </c>
      <c r="Q55" s="39">
        <f t="shared" si="5"/>
        <v>2.9468381419918112E-4</v>
      </c>
      <c r="R55" s="40">
        <f t="shared" si="6"/>
        <v>2.9468381419918112E-4</v>
      </c>
      <c r="S55" s="40">
        <f t="shared" si="3"/>
        <v>3.7656313566645236E-4</v>
      </c>
      <c r="T55" s="40" t="e">
        <f t="shared" si="11"/>
        <v>#N/A</v>
      </c>
      <c r="U55" s="39">
        <f t="shared" si="4"/>
        <v>-9.1228163535545664E-4</v>
      </c>
      <c r="V55" s="139">
        <f t="shared" si="7"/>
        <v>19.530128248781189</v>
      </c>
    </row>
    <row r="56" spans="1:22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106"/>
      <c r="M56" s="159">
        <f t="shared" si="12"/>
        <v>4.5</v>
      </c>
      <c r="N56" s="39">
        <f t="shared" si="0"/>
        <v>-9.4896108016679457E-5</v>
      </c>
      <c r="O56" s="39">
        <f t="shared" si="1"/>
        <v>3.8460288265317354E-6</v>
      </c>
      <c r="P56" s="39">
        <f t="shared" si="2"/>
        <v>3.5968845707687127E-5</v>
      </c>
      <c r="Q56" s="39">
        <f t="shared" si="5"/>
        <v>1.3914720790635802E-5</v>
      </c>
      <c r="R56" s="40">
        <f t="shared" si="6"/>
        <v>1.3914720790635802E-5</v>
      </c>
      <c r="S56" s="40">
        <f t="shared" si="3"/>
        <v>1.7780993187848986E-5</v>
      </c>
      <c r="T56" s="40" t="e">
        <f t="shared" si="11"/>
        <v>#N/A</v>
      </c>
      <c r="U56" s="39">
        <f t="shared" si="4"/>
        <v>-1.0113261955596389E-3</v>
      </c>
      <c r="V56" s="139">
        <f t="shared" si="7"/>
        <v>19.530128248781189</v>
      </c>
    </row>
    <row r="57" spans="1:22">
      <c r="A57" s="263" t="s">
        <v>175</v>
      </c>
      <c r="B57" s="264">
        <f>MAX(N9:N331)</f>
        <v>1.8325770340106349</v>
      </c>
      <c r="C57" s="265" t="s">
        <v>93</v>
      </c>
      <c r="D57" s="49"/>
      <c r="E57" s="49"/>
      <c r="F57" s="211"/>
      <c r="G57" s="212" t="e">
        <f>INDEX($M$9:$M$331,MATCH(maximale_Einsenkung_2,$N$9:$N$331,0))</f>
        <v>#N/A</v>
      </c>
      <c r="H57" s="213" t="s">
        <v>66</v>
      </c>
      <c r="I57" s="214"/>
      <c r="J57" s="49"/>
      <c r="K57" s="49"/>
      <c r="L57" s="1"/>
      <c r="M57" s="159">
        <f t="shared" si="12"/>
        <v>4.5999999999999996</v>
      </c>
      <c r="N57" s="39">
        <f t="shared" si="0"/>
        <v>-1.0419482858184527E-4</v>
      </c>
      <c r="O57" s="39">
        <f t="shared" si="1"/>
        <v>-9.0614085523406387E-5</v>
      </c>
      <c r="P57" s="39">
        <f t="shared" si="2"/>
        <v>5.2928500249088036E-5</v>
      </c>
      <c r="Q57" s="39">
        <f t="shared" si="5"/>
        <v>-3.2783677830465409E-4</v>
      </c>
      <c r="R57" s="40">
        <f t="shared" si="6"/>
        <v>-3.2783677830465409E-4</v>
      </c>
      <c r="S57" s="40">
        <f t="shared" si="3"/>
        <v>-4.189278110189847E-4</v>
      </c>
      <c r="T57" s="40" t="e">
        <f t="shared" si="11"/>
        <v>#N/A</v>
      </c>
      <c r="U57" s="39">
        <f t="shared" si="4"/>
        <v>-1.1104244609077649E-3</v>
      </c>
      <c r="V57" s="139">
        <f t="shared" si="7"/>
        <v>19.530128248781189</v>
      </c>
    </row>
    <row r="58" spans="1:22" ht="14.65" hidden="1" customHeight="1">
      <c r="A58" s="215" t="s">
        <v>120</v>
      </c>
      <c r="B58" s="215"/>
      <c r="C58" s="215"/>
      <c r="D58" s="215"/>
      <c r="E58" s="215"/>
      <c r="F58" s="215"/>
      <c r="G58" s="215"/>
      <c r="H58" s="215"/>
      <c r="I58" s="215"/>
      <c r="J58" s="215"/>
      <c r="K58" s="215"/>
      <c r="L58" s="1"/>
      <c r="M58" s="159">
        <f t="shared" si="12"/>
        <v>4.6999999999999993</v>
      </c>
      <c r="N58" s="39">
        <f t="shared" si="0"/>
        <v>-1.1330332839216483E-4</v>
      </c>
      <c r="O58" s="39">
        <f t="shared" si="1"/>
        <v>-2.0357848690872172E-4</v>
      </c>
      <c r="P58" s="39">
        <f t="shared" si="2"/>
        <v>7.2832217078387055E-5</v>
      </c>
      <c r="Q58" s="39">
        <f t="shared" si="5"/>
        <v>-7.365357702920468E-4</v>
      </c>
      <c r="R58" s="40">
        <f t="shared" si="6"/>
        <v>-7.365357702920468E-4</v>
      </c>
      <c r="S58" s="40">
        <f t="shared" si="3"/>
        <v>-9.4118579245826045E-4</v>
      </c>
      <c r="T58" s="40" t="e">
        <f t="shared" si="11"/>
        <v>#N/A</v>
      </c>
      <c r="U58" s="39">
        <f t="shared" si="4"/>
        <v>-1.2074955068436749E-3</v>
      </c>
      <c r="V58" s="139">
        <f t="shared" si="7"/>
        <v>19.530128248781189</v>
      </c>
    </row>
    <row r="59" spans="1:22" ht="14.65" hidden="1" customHeight="1">
      <c r="A59" s="216" t="s">
        <v>121</v>
      </c>
      <c r="B59" s="217" t="e">
        <f>IF(Achslast_1_2=0,0,((1/(ESchiene_2*ISchiene_2))*((Achslast_4_2*10^3/2)/(8*(1/Lelastisch_2)^3)*EXP(-(1/Lelastisch_2)*ABS(G59-x4_)*10^3)*(COS(ABS(G59-x4_)*10^3/Lelastisch_2)+SIN(ABS(G59-x4_)*10^3/Lelastisch_2))+(Achslast_3_2*10^3/2)/(8*(1/Lelastisch_2)^3)*EXP(-(1/Lelastisch_2)*ABS(G59-x_3)*10^3)*(COS(ABS(G59-x_3)*10^3/Lelastisch_2)+SIN(ABS(G59-x_3)*10^3/Lelastisch_2))+(Achslast_2_2*10^3/2)/(8*(1/Lelastisch_2)^3)*EXP(-(1/Lelastisch_2)*ABS(G59-x_2)*10^3)*(COS(ABS(G59-x_2)*10^3/Lelastisch_2)+SIN(ABS(G59-x_2)*10^3/Lelastisch_2))+(Achslast_1_2*10^3/2)/(8*(1/Lelastisch_2)^3)*EXP(-(1/Lelastisch_2)*ABS(G59-x_1)*10^3)*(COS(ABS(G59-x_1)*10^3/Lelastisch_2)+SIN(ABS(G59-x_1)*10^3/Lelastisch_2)))))</f>
        <v>#REF!</v>
      </c>
      <c r="C59" s="216" t="s">
        <v>93</v>
      </c>
      <c r="D59" s="216"/>
      <c r="E59" s="216"/>
      <c r="F59" s="218" t="s">
        <v>122</v>
      </c>
      <c r="G59" s="216" t="e">
        <f>IF(B10=0,"-",x_1)</f>
        <v>#REF!</v>
      </c>
      <c r="H59" s="216" t="s">
        <v>66</v>
      </c>
      <c r="I59" s="215"/>
      <c r="J59" s="215"/>
      <c r="K59" s="215"/>
      <c r="L59" s="1"/>
      <c r="M59" s="159">
        <f t="shared" si="12"/>
        <v>4.7999999999999989</v>
      </c>
      <c r="N59" s="39">
        <f t="shared" si="0"/>
        <v>-1.2198815830278052E-4</v>
      </c>
      <c r="O59" s="39">
        <f t="shared" si="1"/>
        <v>-3.3666157312934789E-4</v>
      </c>
      <c r="P59" s="39">
        <f t="shared" si="2"/>
        <v>9.5810869558080196E-5</v>
      </c>
      <c r="Q59" s="39">
        <f t="shared" si="5"/>
        <v>-1.2180230576315048E-3</v>
      </c>
      <c r="R59" s="40">
        <f t="shared" si="6"/>
        <v>-1.2180230576315048E-3</v>
      </c>
      <c r="S59" s="40">
        <f t="shared" si="3"/>
        <v>-1.556456648771835E-3</v>
      </c>
      <c r="T59" s="40" t="e">
        <f t="shared" si="11"/>
        <v>#N/A</v>
      </c>
      <c r="U59" s="39">
        <f t="shared" si="4"/>
        <v>-1.3000514206335401E-3</v>
      </c>
      <c r="V59" s="139">
        <f t="shared" si="7"/>
        <v>19.530128248781189</v>
      </c>
    </row>
    <row r="60" spans="1:22" ht="14.65" hidden="1" customHeight="1">
      <c r="A60" s="216" t="s">
        <v>123</v>
      </c>
      <c r="B60" s="217" t="e">
        <f>IF(Achslast_2_2=0,0,((1/(ESchiene_2*ISchiene_2))*((Achslast_4_2*10^3/2)/(8*(1/Lelastisch_2)^3)*EXP(-(1/Lelastisch_2)*ABS(G60-x4_)*10^3)*(COS(ABS(G60-x4_)*10^3/Lelastisch_2)+SIN(ABS(G60-x4_)*10^3/Lelastisch_2))+(Achslast_3_2*10^3/2)/(8*(1/Lelastisch_2)^3)*EXP(-(1/Lelastisch_2)*ABS(G60-x_3)*10^3)*(COS(ABS(G60-x_3)*10^3/Lelastisch_2)+SIN(ABS(G60-x_3)*10^3/Lelastisch_2))+(Achslast_2_2*10^3/2)/(8*(1/Lelastisch_2)^3)*EXP(-(1/Lelastisch_2)*ABS(G60-x_2)*10^3)*(COS(ABS(G60-x_2)*10^3/Lelastisch_2)+SIN(ABS(G60-x_2)*10^3/Lelastisch_2))+(Achslast_1_2*10^3/2)/(8*(1/Lelastisch_2)^3)*EXP(-(1/Lelastisch_2)*ABS(G60-x_1)*10^3)*(COS(ABS(G60-x_1)*10^3/Lelastisch_2)+SIN(ABS(G60-x_1)*10^3/Lelastisch_2)))))</f>
        <v>#REF!</v>
      </c>
      <c r="C60" s="216" t="s">
        <v>93</v>
      </c>
      <c r="D60" s="216"/>
      <c r="E60" s="216"/>
      <c r="F60" s="218" t="s">
        <v>124</v>
      </c>
      <c r="G60" s="216" t="e">
        <f>IF(B11=0,"-",x_2)</f>
        <v>#REF!</v>
      </c>
      <c r="H60" s="216" t="s">
        <v>66</v>
      </c>
      <c r="I60" s="215"/>
      <c r="J60" s="215"/>
      <c r="K60" s="215"/>
      <c r="L60" s="1"/>
      <c r="M60" s="159">
        <f t="shared" si="12"/>
        <v>4.8999999999999986</v>
      </c>
      <c r="N60" s="39">
        <f t="shared" si="0"/>
        <v>-1.2997435495055407E-4</v>
      </c>
      <c r="O60" s="39">
        <f t="shared" si="1"/>
        <v>-4.9140187518808393E-4</v>
      </c>
      <c r="P60" s="39">
        <f t="shared" si="2"/>
        <v>1.2192344273227691E-4</v>
      </c>
      <c r="Q60" s="39">
        <f t="shared" si="5"/>
        <v>-1.7778649608830822E-3</v>
      </c>
      <c r="R60" s="40">
        <f t="shared" si="6"/>
        <v>-1.7778649608830822E-3</v>
      </c>
      <c r="S60" s="40">
        <f t="shared" si="3"/>
        <v>-2.2718533295796759E-3</v>
      </c>
      <c r="T60" s="40" t="e">
        <f t="shared" si="11"/>
        <v>#N/A</v>
      </c>
      <c r="U60" s="39">
        <f t="shared" si="4"/>
        <v>-1.3851618644819261E-3</v>
      </c>
      <c r="V60" s="139">
        <f t="shared" si="7"/>
        <v>19.530128248781189</v>
      </c>
    </row>
    <row r="61" spans="1:22" ht="14.65" hidden="1" customHeight="1">
      <c r="A61" s="216" t="s">
        <v>125</v>
      </c>
      <c r="B61" s="219" t="e">
        <f>IF(Achslast_3_2=0," - ",((1/(ESchiene_2*ISchiene_2))*((Achslast_4_2*10^3/2)/(8*(1/Lelastisch_2)^3)*EXP(-(1/Lelastisch_2)*ABS(G61-x4_)*10^3)*(COS(ABS(G61-x4_)*10^3/Lelastisch_2)+SIN(ABS(G61-x4_)*10^3/Lelastisch_2))+(Achslast_3_2*10^3/2)/(8*(1/Lelastisch_2)^3)*EXP(-(1/Lelastisch_2)*ABS(G61-x_3)*10^3)*(COS(ABS(G61-x_3)*10^3/Lelastisch_2)+SIN(ABS(G61-x_3)*10^3/Lelastisch_2))+(Achslast_2_2*10^3/2)/(8*(1/Lelastisch_2)^3)*EXP(-(1/Lelastisch_2)*ABS(G61-x_2)*10^3)*(COS(ABS(G61-x_2)*10^3/Lelastisch_2)+SIN(ABS(G61-x_2)*10^3/Lelastisch_2))+(Achslast_1_2*10^3/2)/(8*(1/Lelastisch_2)^3)*EXP(-(1/Lelastisch_2)*ABS(G61-x_1)*10^3)*(COS(ABS(G61-x_1)*10^3/Lelastisch_2)+SIN(ABS(G61-x_1)*10^3/Lelastisch_2)))))</f>
        <v>#REF!</v>
      </c>
      <c r="C61" s="216" t="s">
        <v>93</v>
      </c>
      <c r="D61" s="216"/>
      <c r="E61" s="216"/>
      <c r="F61" s="218" t="s">
        <v>126</v>
      </c>
      <c r="G61" s="218" t="e">
        <f>IF(#REF!=0,"-",x_3)</f>
        <v>#REF!</v>
      </c>
      <c r="H61" s="216" t="s">
        <v>66</v>
      </c>
      <c r="I61" s="215"/>
      <c r="J61" s="215"/>
      <c r="K61" s="215"/>
      <c r="L61" s="1"/>
      <c r="M61" s="159">
        <f t="shared" si="12"/>
        <v>4.9999999999999982</v>
      </c>
      <c r="N61" s="39">
        <f t="shared" si="0"/>
        <v>-1.3694227345882845E-4</v>
      </c>
      <c r="O61" s="39">
        <f t="shared" si="1"/>
        <v>-6.6921317137147245E-4</v>
      </c>
      <c r="P61" s="39">
        <f t="shared" si="2"/>
        <v>1.5113450131980639E-4</v>
      </c>
      <c r="Q61" s="39">
        <f t="shared" si="5"/>
        <v>-2.4211764521399146E-3</v>
      </c>
      <c r="R61" s="40">
        <f t="shared" si="6"/>
        <v>-2.4211764521399146E-3</v>
      </c>
      <c r="S61" s="40">
        <f t="shared" si="3"/>
        <v>-3.0939120266827206E-3</v>
      </c>
      <c r="T61" s="40" t="e">
        <f t="shared" si="11"/>
        <v>#N/A</v>
      </c>
      <c r="U61" s="39">
        <f t="shared" si="4"/>
        <v>-1.459420321053234E-3</v>
      </c>
      <c r="V61" s="139">
        <f t="shared" si="7"/>
        <v>19.530128248781189</v>
      </c>
    </row>
    <row r="62" spans="1:22" ht="14.65" hidden="1" customHeight="1">
      <c r="A62" s="216" t="s">
        <v>127</v>
      </c>
      <c r="B62" s="219" t="e">
        <f>IF(Achslast_4_2=0," - ",((1/(ESchiene_2*ISchiene_2))*((Achslast_4_2*10^3/2)/(8*(1/Lelastisch_2)^3)*EXP(-(1/Lelastisch_2)*ABS(G62-x4_)*10^3)*(COS(ABS(G62-x4_)*10^3/Lelastisch_2)+SIN(ABS(G62-x4_)*10^3/Lelastisch_2))+(Achslast_3_2*10^3/2)/(8*(1/Lelastisch_2)^3)*EXP(-(1/Lelastisch_2)*ABS(G62-x_3)*10^3)*(COS(ABS(G62-x_3)*10^3/Lelastisch_2)+SIN(ABS(G62-x_3)*10^3/Lelastisch_2))+(Achslast_2_2*10^3/2)/(8*(1/Lelastisch_2)^3)*EXP(-(1/Lelastisch_2)*ABS(G62-x_2)*10^3)*(COS(ABS(G62-x_2)*10^3/Lelastisch_2)+SIN(ABS(G62-x_2)*10^3/Lelastisch_2))+(Achslast_1_2*10^3/2)/(8*(1/Lelastisch_2)^3)*EXP(-(1/Lelastisch_2)*ABS(G62-x_1)*10^3)*(COS(ABS(G62-x_1)*10^3/Lelastisch_2)+SIN(ABS(G62-x_1)*10^3/Lelastisch_2)))))</f>
        <v>#REF!</v>
      </c>
      <c r="C62" s="216" t="s">
        <v>93</v>
      </c>
      <c r="D62" s="216"/>
      <c r="E62" s="216"/>
      <c r="F62" s="218" t="s">
        <v>128</v>
      </c>
      <c r="G62" s="218" t="e">
        <f>IF(#REF!=0,"-",x4_)</f>
        <v>#REF!</v>
      </c>
      <c r="H62" s="216" t="s">
        <v>66</v>
      </c>
      <c r="I62" s="215"/>
      <c r="J62" s="215"/>
      <c r="K62" s="215"/>
      <c r="L62" s="1"/>
      <c r="M62" s="159">
        <f>MIN(M61+Dx,LSchiene)</f>
        <v>5.0999999999999979</v>
      </c>
      <c r="N62" s="39">
        <f t="shared" si="0"/>
        <v>-1.4252467901054302E-4</v>
      </c>
      <c r="O62" s="39">
        <f t="shared" si="1"/>
        <v>-8.7132766882457426E-4</v>
      </c>
      <c r="P62" s="39">
        <f t="shared" si="2"/>
        <v>1.8328860144029718E-4</v>
      </c>
      <c r="Q62" s="39">
        <f t="shared" si="5"/>
        <v>-3.1524155890903555E-3</v>
      </c>
      <c r="R62" s="40">
        <f t="shared" si="6"/>
        <v>-3.1524155890903555E-3</v>
      </c>
      <c r="S62" s="40">
        <f t="shared" si="3"/>
        <v>-4.028329490636035E-3</v>
      </c>
      <c r="T62" s="40" t="e">
        <f t="shared" si="11"/>
        <v>#N/A</v>
      </c>
      <c r="U62" s="39">
        <f t="shared" si="4"/>
        <v>-1.5189130978033004E-3</v>
      </c>
      <c r="V62" s="139">
        <f t="shared" si="7"/>
        <v>19.530128248781189</v>
      </c>
    </row>
    <row r="63" spans="1:22">
      <c r="A63" s="263" t="s">
        <v>176</v>
      </c>
      <c r="B63" s="264">
        <f>MIN(N9:N331)</f>
        <v>-7.9094409080919831E-2</v>
      </c>
      <c r="C63" s="265" t="s">
        <v>93</v>
      </c>
      <c r="D63" s="49"/>
      <c r="E63" s="49"/>
      <c r="F63" s="49"/>
      <c r="G63" s="49"/>
      <c r="H63" s="49"/>
      <c r="I63" s="49"/>
      <c r="J63" s="49"/>
      <c r="K63" s="49"/>
      <c r="L63" s="1"/>
      <c r="M63" s="159">
        <f t="shared" ref="M63:M126" si="13">MIN(M62+Dx,LSchiene)</f>
        <v>5.1999999999999975</v>
      </c>
      <c r="N63" s="39">
        <f t="shared" si="0"/>
        <v>-1.4630421465798872E-4</v>
      </c>
      <c r="O63" s="39">
        <f t="shared" si="1"/>
        <v>-1.0987307377615971E-3</v>
      </c>
      <c r="P63" s="39">
        <f t="shared" si="2"/>
        <v>2.1808168498490423E-4</v>
      </c>
      <c r="Q63" s="39">
        <f t="shared" si="5"/>
        <v>-3.9751473869811763E-3</v>
      </c>
      <c r="R63" s="40">
        <f t="shared" si="6"/>
        <v>-3.9751473869811763E-3</v>
      </c>
      <c r="S63" s="40">
        <f t="shared" si="3"/>
        <v>-5.0796612933961954E-3</v>
      </c>
      <c r="T63" s="40" t="e">
        <f t="shared" si="11"/>
        <v>#N/A</v>
      </c>
      <c r="U63" s="39">
        <f t="shared" si="4"/>
        <v>-1.5591923409377128E-3</v>
      </c>
      <c r="V63" s="139">
        <f t="shared" si="7"/>
        <v>19.530128248781189</v>
      </c>
    </row>
    <row r="64" spans="1:22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1"/>
      <c r="M64" s="159">
        <f t="shared" si="13"/>
        <v>5.2999999999999972</v>
      </c>
      <c r="N64" s="39">
        <f t="shared" si="0"/>
        <v>-1.4781138016228845E-4</v>
      </c>
      <c r="O64" s="39">
        <f t="shared" si="1"/>
        <v>-1.3520867505395374E-3</v>
      </c>
      <c r="P64" s="39">
        <f t="shared" si="2"/>
        <v>2.5502961366188036E-4</v>
      </c>
      <c r="Q64" s="39">
        <f t="shared" si="5"/>
        <v>-4.8917755084643168E-3</v>
      </c>
      <c r="R64" s="40">
        <f t="shared" si="6"/>
        <v>-4.8917755084643168E-3</v>
      </c>
      <c r="S64" s="40">
        <f t="shared" si="3"/>
        <v>-6.2509789668956884E-3</v>
      </c>
      <c r="T64" s="40" t="e">
        <f t="shared" si="11"/>
        <v>#N/A</v>
      </c>
      <c r="U64" s="39">
        <f t="shared" si="4"/>
        <v>-1.5752544955128431E-3</v>
      </c>
      <c r="V64" s="139">
        <f t="shared" si="7"/>
        <v>19.530128248781189</v>
      </c>
    </row>
    <row r="65" spans="1:22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1"/>
      <c r="M65" s="159">
        <f t="shared" si="13"/>
        <v>5.3999999999999968</v>
      </c>
      <c r="N65" s="39">
        <f t="shared" si="0"/>
        <v>-1.4652317500060141E-4</v>
      </c>
      <c r="O65" s="39">
        <f t="shared" si="1"/>
        <v>-1.631655668862642E-3</v>
      </c>
      <c r="P65" s="39">
        <f t="shared" si="2"/>
        <v>2.9343414587768143E-4</v>
      </c>
      <c r="Q65" s="39">
        <f t="shared" si="5"/>
        <v>-5.9032404806897325E-3</v>
      </c>
      <c r="R65" s="40">
        <f t="shared" si="6"/>
        <v>-5.9032404806897325E-3</v>
      </c>
      <c r="S65" s="40">
        <f t="shared" si="3"/>
        <v>-7.5434843682970036E-3</v>
      </c>
      <c r="T65" s="40" t="e">
        <f t="shared" si="11"/>
        <v>#N/A</v>
      </c>
      <c r="U65" s="39">
        <f t="shared" si="4"/>
        <v>-1.561525843700903E-3</v>
      </c>
      <c r="V65" s="139">
        <f t="shared" si="7"/>
        <v>19.530128248781189</v>
      </c>
    </row>
    <row r="66" spans="1:22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1"/>
      <c r="M66" s="159">
        <f t="shared" si="13"/>
        <v>5.4999999999999964</v>
      </c>
      <c r="N66" s="39">
        <f t="shared" si="0"/>
        <v>-1.418625777556256E-4</v>
      </c>
      <c r="O66" s="39">
        <f t="shared" si="1"/>
        <v>-1.937200140637457E-3</v>
      </c>
      <c r="P66" s="39">
        <f t="shared" si="2"/>
        <v>3.3234683653639047E-4</v>
      </c>
      <c r="Q66" s="39">
        <f t="shared" si="5"/>
        <v>-7.0086835768359522E-3</v>
      </c>
      <c r="R66" s="40">
        <f t="shared" si="6"/>
        <v>-7.0086835768359522E-3</v>
      </c>
      <c r="S66" s="40">
        <f t="shared" si="3"/>
        <v>-8.9560801693826034E-3</v>
      </c>
      <c r="T66" s="40" t="e">
        <f t="shared" si="11"/>
        <v>#N/A</v>
      </c>
      <c r="U66" s="39">
        <f t="shared" si="4"/>
        <v>-1.5118569565430793E-3</v>
      </c>
      <c r="V66" s="139">
        <f t="shared" si="7"/>
        <v>19.530128248781189</v>
      </c>
    </row>
    <row r="67" spans="1:22" ht="14.65" hidden="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1"/>
      <c r="M67" s="159">
        <f t="shared" si="13"/>
        <v>5.5999999999999961</v>
      </c>
      <c r="N67" s="39">
        <f t="shared" si="0"/>
        <v>-1.3319905366554949E-4</v>
      </c>
      <c r="O67" s="39">
        <f t="shared" si="1"/>
        <v>-2.2678830168461946E-3</v>
      </c>
      <c r="P67" s="39">
        <f t="shared" si="2"/>
        <v>3.7053155003147448E-4</v>
      </c>
      <c r="Q67" s="39">
        <f t="shared" si="5"/>
        <v>-8.2050760377937564E-3</v>
      </c>
      <c r="R67" s="40">
        <f t="shared" si="6"/>
        <v>-8.2050760377937564E-3</v>
      </c>
      <c r="S67" s="40">
        <f t="shared" si="3"/>
        <v>-1.048489605569207E-2</v>
      </c>
      <c r="T67" s="40" t="e">
        <f t="shared" si="11"/>
        <v>#N/A</v>
      </c>
      <c r="U67" s="39">
        <f t="shared" si="4"/>
        <v>-1.4195281030076321E-3</v>
      </c>
      <c r="V67" s="139">
        <f t="shared" si="7"/>
        <v>19.530128248781189</v>
      </c>
    </row>
    <row r="68" spans="1:22" ht="14.65" hidden="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1"/>
      <c r="M68" s="159">
        <f t="shared" si="13"/>
        <v>5.6999999999999957</v>
      </c>
      <c r="N68" s="39">
        <f t="shared" si="0"/>
        <v>-1.1985030185529754E-4</v>
      </c>
      <c r="O68" s="39">
        <f t="shared" si="1"/>
        <v>-2.6221553817204184E-3</v>
      </c>
      <c r="P68" s="39">
        <f t="shared" si="2"/>
        <v>4.0642652216570015E-4</v>
      </c>
      <c r="Q68" s="39">
        <f t="shared" si="5"/>
        <v>-9.4868139714921074E-3</v>
      </c>
      <c r="R68" s="40">
        <f t="shared" si="6"/>
        <v>-9.4868139714921074E-3</v>
      </c>
      <c r="S68" s="40">
        <f t="shared" si="3"/>
        <v>-1.2122771066668602E-2</v>
      </c>
      <c r="T68" s="40" t="e">
        <f t="shared" si="11"/>
        <v>#N/A</v>
      </c>
      <c r="U68" s="39">
        <f t="shared" si="4"/>
        <v>-1.2772678705715546E-3</v>
      </c>
      <c r="V68" s="139">
        <f t="shared" si="7"/>
        <v>19.530128248781189</v>
      </c>
    </row>
    <row r="69" spans="1:22" ht="14.65" hidden="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1"/>
      <c r="M69" s="159">
        <f t="shared" si="13"/>
        <v>5.7999999999999954</v>
      </c>
      <c r="N69" s="39">
        <f t="shared" si="0"/>
        <v>-1.0108547331364742E-4</v>
      </c>
      <c r="O69" s="39">
        <f t="shared" si="1"/>
        <v>-2.9976354099785938E-3</v>
      </c>
      <c r="P69" s="39">
        <f t="shared" si="2"/>
        <v>4.3810718878662552E-4</v>
      </c>
      <c r="Q69" s="39">
        <f t="shared" si="5"/>
        <v>-1.0845280065045565E-2</v>
      </c>
      <c r="R69" s="40">
        <f t="shared" si="6"/>
        <v>-1.0845280065045565E-2</v>
      </c>
      <c r="S69" s="40">
        <f t="shared" si="3"/>
        <v>-1.3858693527409127E-2</v>
      </c>
      <c r="T69" s="40" t="e">
        <f t="shared" si="11"/>
        <v>#N/A</v>
      </c>
      <c r="U69" s="39">
        <f t="shared" si="4"/>
        <v>-1.0772874598257273E-3</v>
      </c>
      <c r="V69" s="139">
        <f t="shared" si="7"/>
        <v>19.530128248781189</v>
      </c>
    </row>
    <row r="70" spans="1:22" ht="14.65" hidden="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1"/>
      <c r="M70" s="159">
        <f t="shared" si="13"/>
        <v>5.899999999999995</v>
      </c>
      <c r="N70" s="39">
        <f t="shared" si="0"/>
        <v>-7.6130109569783901E-5</v>
      </c>
      <c r="O70" s="39">
        <f t="shared" si="1"/>
        <v>-3.3909786264049724E-3</v>
      </c>
      <c r="P70" s="39">
        <f t="shared" si="2"/>
        <v>4.6325131796252553E-4</v>
      </c>
      <c r="Q70" s="39">
        <f t="shared" si="5"/>
        <v>-1.2268374191045487E-2</v>
      </c>
      <c r="R70" s="40">
        <f t="shared" si="6"/>
        <v>-1.2268374191045487E-2</v>
      </c>
      <c r="S70" s="40">
        <f t="shared" si="3"/>
        <v>-1.5677201231645732E-2</v>
      </c>
      <c r="T70" s="40" t="e">
        <f t="shared" si="11"/>
        <v>#N/A</v>
      </c>
      <c r="U70" s="39">
        <f t="shared" si="4"/>
        <v>-8.1133331690711082E-4</v>
      </c>
      <c r="V70" s="139">
        <f t="shared" si="7"/>
        <v>19.530128248781189</v>
      </c>
    </row>
    <row r="71" spans="1:22" ht="14.65" hidden="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1"/>
      <c r="M71" s="159">
        <f t="shared" si="13"/>
        <v>5.9999999999999947</v>
      </c>
      <c r="N71" s="39">
        <f t="shared" si="0"/>
        <v>-4.4173069716799938E-5</v>
      </c>
      <c r="O71" s="39">
        <f t="shared" si="1"/>
        <v>-3.7977404489399381E-3</v>
      </c>
      <c r="P71" s="39">
        <f t="shared" si="2"/>
        <v>4.7910833774321817E-4</v>
      </c>
      <c r="Q71" s="39">
        <f t="shared" si="5"/>
        <v>-1.3740016096020036E-2</v>
      </c>
      <c r="R71" s="40">
        <f t="shared" si="6"/>
        <v>-1.3740016096020036E-2</v>
      </c>
      <c r="S71" s="40">
        <f t="shared" si="3"/>
        <v>-1.7557745949791672E-2</v>
      </c>
      <c r="T71" s="40" t="e">
        <f t="shared" si="11"/>
        <v>#N/A</v>
      </c>
      <c r="U71" s="39">
        <f t="shared" si="4"/>
        <v>-4.7076095612930661E-4</v>
      </c>
      <c r="V71" s="139">
        <f t="shared" si="7"/>
        <v>19.530128248781189</v>
      </c>
    </row>
    <row r="72" spans="1:22" ht="15" hidden="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231"/>
      <c r="M72" s="159">
        <f t="shared" si="13"/>
        <v>6.0999999999999943</v>
      </c>
      <c r="N72" s="39">
        <f t="shared" si="0"/>
        <v>-4.375729296586067E-6</v>
      </c>
      <c r="O72" s="39">
        <f t="shared" si="1"/>
        <v>-4.2122322498572822E-3</v>
      </c>
      <c r="P72" s="39">
        <f t="shared" si="2"/>
        <v>4.8247514063628707E-4</v>
      </c>
      <c r="Q72" s="39">
        <f t="shared" si="5"/>
        <v>-1.5239624637689153E-2</v>
      </c>
      <c r="R72" s="40">
        <f t="shared" si="6"/>
        <v>-1.5239624637689153E-2</v>
      </c>
      <c r="S72" s="40">
        <f t="shared" si="3"/>
        <v>-1.9474027969751652E-2</v>
      </c>
      <c r="T72" s="40" t="e">
        <f t="shared" si="11"/>
        <v>#N/A</v>
      </c>
      <c r="U72" s="39">
        <f t="shared" si="4"/>
        <v>-4.6632994279780467E-5</v>
      </c>
      <c r="V72" s="139">
        <f t="shared" si="7"/>
        <v>19.530128248781189</v>
      </c>
    </row>
    <row r="73" spans="1:22" ht="14.65" hidden="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231"/>
      <c r="M73" s="159">
        <f t="shared" si="13"/>
        <v>6.199999999999994</v>
      </c>
      <c r="N73" s="39">
        <f t="shared" ref="N73:N136" si="14">(1/($C$14*$C$15))*(($C$11*10^3/2)/(8*(1/$I$24)^3)*EXP(-(1/$I$24)*ABS(M73-$D$33)*10^3)*(COS(ABS(M73-$D$33)*10^3/$I$24)+SIN(ABS(M73-$D$33)*10^3/$I$24))+($C$10*10^3/2)/(8*(1/$I$24)^3)*EXP(-(1/$I$24)*ABS(M73-$D$32)*10^3)*(COS(ABS(M73-$D$32)*10^3/$I$24)+SIN(ABS(M73-$D$32)*10^3/$I$24)))</f>
        <v>4.4116252129501463E-5</v>
      </c>
      <c r="O73" s="39">
        <f t="shared" ref="O73:O136" si="15">(($C$11*10^3/2)/(4*(1/$I$24))*EXP(-(1/$I$24)*ABS(M73-$D$33)*10^3)*(COS(ABS(M73-$D$33)*10^3/$I$24)-SIN(ABS(M73-$D$33)*10^3/$I$24))+($C$10*10^3/2)/(4*(1/$I$24))*EXP(-(1/$I$24)*ABS(M73-$D$32)*10^3)*(COS(ABS(M73-$D$32)*10^3/$I$24)-SIN(ABS(M73-$D$32)*10^3/$I$24)))*10^-6</f>
        <v>-4.627372573329543E-3</v>
      </c>
      <c r="P73" s="39">
        <f t="shared" ref="P73:P136" si="16">((Achslast_2_2*10^3*kd_2*kq_2/2)/(4*(1/Lelastisch_2))*EXP(-(1/Lelastisch_2)*ABS(M73-$D$33)*10^3)*(COS(ABS(M73-$D$33)*10^3/Lelastisch_2)-SIN(ABS(M73-$D$33)*10^3/Lelastisch_2))+(Achslast_1_2*10^3*kd_2*kq_2/2)/(4*(1/Lelastisch_2))*EXP(-(1/Lelastisch_2)*ABS(M73-$D$32)*10^3)*(COS(ABS(M73-$D$32)*10^3/Lelastisch_2)-SIN(ABS(M73-$D$32)*10^3/Lelastisch_2)))*10^-6</f>
        <v>4.6968106470575145E-4</v>
      </c>
      <c r="Q73" s="39">
        <f t="shared" si="5"/>
        <v>-1.6741579498297913E-2</v>
      </c>
      <c r="R73" s="40">
        <f t="shared" si="6"/>
        <v>-1.6741579498297913E-2</v>
      </c>
      <c r="S73" s="40">
        <f t="shared" ref="S73:S136" si="17">(O73/WSchiene_2)*10^6*(1+3*$D$126*$D$123)</f>
        <v>-2.1393308244704312E-2</v>
      </c>
      <c r="T73" s="40" t="e">
        <f t="shared" si="11"/>
        <v>#N/A</v>
      </c>
      <c r="U73" s="39">
        <f t="shared" ref="U73:U136" si="18">$I$22*N73</f>
        <v>4.7015544010125892E-4</v>
      </c>
      <c r="V73" s="139">
        <f t="shared" ref="V73:V136" si="19">MAX($U$9:$U$331)</f>
        <v>19.530128248781189</v>
      </c>
    </row>
    <row r="74" spans="1:22" ht="14.65" hidden="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231"/>
      <c r="M74" s="159">
        <f t="shared" si="13"/>
        <v>6.2999999999999936</v>
      </c>
      <c r="N74" s="39">
        <f t="shared" si="14"/>
        <v>1.0215828798052378E-4</v>
      </c>
      <c r="O74" s="39">
        <f t="shared" si="15"/>
        <v>-5.0345356040792811E-3</v>
      </c>
      <c r="P74" s="39">
        <f t="shared" si="16"/>
        <v>4.3658519325084108E-4</v>
      </c>
      <c r="Q74" s="39">
        <f t="shared" ref="Q74:Q137" si="20">O74/$C$16*10^6</f>
        <v>-1.8214672952529959E-2</v>
      </c>
      <c r="R74" s="40">
        <f t="shared" ref="R74:R137" si="21">(O74/$C$16)*10^6*(1+3*$D$126*$D$122)</f>
        <v>-1.8214672952529959E-2</v>
      </c>
      <c r="S74" s="40">
        <f t="shared" si="17"/>
        <v>-2.3275707832081743E-2</v>
      </c>
      <c r="T74" s="40" t="e">
        <f t="shared" si="11"/>
        <v>#N/A</v>
      </c>
      <c r="U74" s="39">
        <f t="shared" si="18"/>
        <v>1.088720653433646E-3</v>
      </c>
      <c r="V74" s="139">
        <f t="shared" si="19"/>
        <v>19.530128248781189</v>
      </c>
    </row>
    <row r="75" spans="1:22" ht="14.65" hidden="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231"/>
      <c r="M75" s="159">
        <f t="shared" si="13"/>
        <v>6.3999999999999932</v>
      </c>
      <c r="N75" s="39">
        <f t="shared" si="14"/>
        <v>1.7058903389651216E-4</v>
      </c>
      <c r="O75" s="39">
        <f t="shared" si="15"/>
        <v>-5.4233994926317659E-3</v>
      </c>
      <c r="P75" s="39">
        <f t="shared" si="16"/>
        <v>3.7858957128052622E-4</v>
      </c>
      <c r="Q75" s="39">
        <f t="shared" si="20"/>
        <v>-1.9621561116612757E-2</v>
      </c>
      <c r="R75" s="40">
        <f t="shared" si="21"/>
        <v>-1.9621561116612757E-2</v>
      </c>
      <c r="S75" s="40">
        <f t="shared" si="17"/>
        <v>-2.507350666958745E-2</v>
      </c>
      <c r="T75" s="40" t="e">
        <f t="shared" si="11"/>
        <v>#N/A</v>
      </c>
      <c r="U75" s="39">
        <f t="shared" si="18"/>
        <v>1.8180003612416928E-3</v>
      </c>
      <c r="V75" s="139">
        <f t="shared" si="19"/>
        <v>19.530128248781189</v>
      </c>
    </row>
    <row r="76" spans="1:22" ht="14.65" hidden="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231"/>
      <c r="M76" s="159">
        <f t="shared" si="13"/>
        <v>6.4999999999999929</v>
      </c>
      <c r="N76" s="39">
        <f t="shared" si="14"/>
        <v>2.5020905669124143E-4</v>
      </c>
      <c r="O76" s="39">
        <f t="shared" si="15"/>
        <v>-5.7817977088970669E-3</v>
      </c>
      <c r="P76" s="39">
        <f t="shared" si="16"/>
        <v>2.9067239531638863E-4</v>
      </c>
      <c r="Q76" s="39">
        <f t="shared" si="20"/>
        <v>-2.0918226153752051E-2</v>
      </c>
      <c r="R76" s="40">
        <f t="shared" si="21"/>
        <v>-2.0918226153752051E-2</v>
      </c>
      <c r="S76" s="40">
        <f t="shared" si="17"/>
        <v>-2.673045635181261E-2</v>
      </c>
      <c r="T76" s="40" t="e">
        <f t="shared" si="11"/>
        <v>#N/A</v>
      </c>
      <c r="U76" s="39">
        <f t="shared" si="18"/>
        <v>2.6665263590540827E-3</v>
      </c>
      <c r="V76" s="139">
        <f t="shared" si="19"/>
        <v>19.530128248781189</v>
      </c>
    </row>
    <row r="77" spans="1:22" ht="14.65" hidden="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1"/>
      <c r="M77" s="159">
        <f t="shared" si="13"/>
        <v>6.5999999999999925</v>
      </c>
      <c r="N77" s="39">
        <f t="shared" si="14"/>
        <v>3.4175569684646552E-4</v>
      </c>
      <c r="O77" s="39">
        <f t="shared" si="15"/>
        <v>-6.0955772174377349E-3</v>
      </c>
      <c r="P77" s="39">
        <f t="shared" si="16"/>
        <v>1.6744567775664625E-4</v>
      </c>
      <c r="Q77" s="39">
        <f t="shared" si="20"/>
        <v>-2.2053463160049691E-2</v>
      </c>
      <c r="R77" s="40">
        <f t="shared" si="21"/>
        <v>-2.2053463160049691E-2</v>
      </c>
      <c r="S77" s="40">
        <f t="shared" si="17"/>
        <v>-2.8181124444927114E-2</v>
      </c>
      <c r="T77" s="40" t="e">
        <f t="shared" si="11"/>
        <v>#N/A</v>
      </c>
      <c r="U77" s="39">
        <f t="shared" si="18"/>
        <v>3.6421566271381762E-3</v>
      </c>
      <c r="V77" s="139">
        <f t="shared" si="19"/>
        <v>19.530128248781189</v>
      </c>
    </row>
    <row r="78" spans="1:22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1"/>
      <c r="M78" s="159">
        <f t="shared" si="13"/>
        <v>6.6999999999999922</v>
      </c>
      <c r="N78" s="39">
        <f t="shared" si="14"/>
        <v>4.4587383257392295E-4</v>
      </c>
      <c r="O78" s="39">
        <f t="shared" si="15"/>
        <v>-6.348467943671659E-3</v>
      </c>
      <c r="P78" s="39">
        <f t="shared" si="16"/>
        <v>3.2422984682321711E-6</v>
      </c>
      <c r="Q78" s="39">
        <f t="shared" si="20"/>
        <v>-2.2968407900403977E-2</v>
      </c>
      <c r="R78" s="40">
        <f t="shared" si="21"/>
        <v>-2.2968407900403977E-2</v>
      </c>
      <c r="S78" s="40">
        <f t="shared" si="17"/>
        <v>-2.9350291001718258E-2</v>
      </c>
      <c r="T78" s="40" t="e">
        <f t="shared" si="11"/>
        <v>#N/A</v>
      </c>
      <c r="U78" s="39">
        <f t="shared" si="18"/>
        <v>4.751763757448557E-3</v>
      </c>
      <c r="V78" s="139">
        <f t="shared" si="19"/>
        <v>19.530128248781189</v>
      </c>
    </row>
    <row r="79" spans="1:22" ht="18">
      <c r="A79" s="221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1"/>
      <c r="M79" s="159">
        <f t="shared" si="13"/>
        <v>6.7999999999999918</v>
      </c>
      <c r="N79" s="39">
        <f t="shared" si="14"/>
        <v>5.6308227690230676E-4</v>
      </c>
      <c r="O79" s="39">
        <f t="shared" si="15"/>
        <v>-6.5219687278771019E-3</v>
      </c>
      <c r="P79" s="39">
        <f t="shared" si="16"/>
        <v>-2.0776228961377012E-4</v>
      </c>
      <c r="Q79" s="39">
        <f t="shared" si="20"/>
        <v>-2.3596124196371571E-2</v>
      </c>
      <c r="R79" s="40">
        <f t="shared" si="21"/>
        <v>-2.3596124196371571E-2</v>
      </c>
      <c r="S79" s="40">
        <f t="shared" si="17"/>
        <v>-3.0152421303176614E-2</v>
      </c>
      <c r="T79" s="40" t="e">
        <f t="shared" si="11"/>
        <v>#N/A</v>
      </c>
      <c r="U79" s="39">
        <f t="shared" si="18"/>
        <v>6.0008768408771592E-3</v>
      </c>
      <c r="V79" s="139">
        <f t="shared" si="19"/>
        <v>19.530128248781189</v>
      </c>
    </row>
    <row r="80" spans="1:22">
      <c r="A80" s="151"/>
      <c r="B80" s="151"/>
      <c r="C80" s="151"/>
      <c r="D80" s="151"/>
      <c r="E80" s="151"/>
      <c r="F80" s="151"/>
      <c r="G80" s="151"/>
      <c r="H80" s="151"/>
      <c r="I80" s="151"/>
      <c r="J80" s="49"/>
      <c r="K80" s="49"/>
      <c r="L80" s="1"/>
      <c r="M80" s="159">
        <f t="shared" si="13"/>
        <v>6.8999999999999915</v>
      </c>
      <c r="N80" s="39">
        <f t="shared" si="14"/>
        <v>6.9373557341244948E-4</v>
      </c>
      <c r="O80" s="39">
        <f t="shared" si="15"/>
        <v>-6.5952557390238824E-3</v>
      </c>
      <c r="P80" s="39">
        <f t="shared" si="16"/>
        <v>-4.7138816617126088E-4</v>
      </c>
      <c r="Q80" s="39">
        <f t="shared" si="20"/>
        <v>-2.3861272572445306E-2</v>
      </c>
      <c r="R80" s="40">
        <f t="shared" si="21"/>
        <v>-2.3861272572445306E-2</v>
      </c>
      <c r="S80" s="40">
        <f t="shared" si="17"/>
        <v>-3.0491242436541294E-2</v>
      </c>
      <c r="T80" s="40" t="e">
        <f t="shared" si="11"/>
        <v>#N/A</v>
      </c>
      <c r="U80" s="39">
        <f t="shared" si="18"/>
        <v>7.3932743170065669E-3</v>
      </c>
      <c r="V80" s="139">
        <f t="shared" si="19"/>
        <v>19.530128248781189</v>
      </c>
    </row>
    <row r="81" spans="1:22">
      <c r="A81" s="323"/>
      <c r="B81" s="324"/>
      <c r="C81" s="151"/>
      <c r="D81" s="151"/>
      <c r="E81" s="151"/>
      <c r="F81" s="151"/>
      <c r="G81" s="151"/>
      <c r="H81" s="151"/>
      <c r="I81" s="151"/>
      <c r="J81" s="49"/>
      <c r="K81" s="49"/>
      <c r="L81" s="1"/>
      <c r="M81" s="159">
        <f t="shared" si="13"/>
        <v>6.9999999999999911</v>
      </c>
      <c r="N81" s="39">
        <f t="shared" si="14"/>
        <v>8.3798100274412211E-4</v>
      </c>
      <c r="O81" s="39">
        <f t="shared" si="15"/>
        <v>-6.5451201370596802E-3</v>
      </c>
      <c r="P81" s="39">
        <f t="shared" si="16"/>
        <v>-7.932431780288008E-4</v>
      </c>
      <c r="Q81" s="39">
        <f t="shared" si="20"/>
        <v>-2.3679884721634153E-2</v>
      </c>
      <c r="R81" s="40">
        <f t="shared" si="21"/>
        <v>-2.3679884721634153E-2</v>
      </c>
      <c r="S81" s="40">
        <f t="shared" si="17"/>
        <v>-3.025945509505169E-2</v>
      </c>
      <c r="T81" s="40" t="e">
        <f t="shared" si="11"/>
        <v>#N/A</v>
      </c>
      <c r="U81" s="39">
        <f t="shared" si="18"/>
        <v>8.9305257841291886E-3</v>
      </c>
      <c r="V81" s="139">
        <f t="shared" si="19"/>
        <v>19.530128248781189</v>
      </c>
    </row>
    <row r="82" spans="1:22">
      <c r="A82" s="151"/>
      <c r="B82" s="151"/>
      <c r="C82" s="151"/>
      <c r="D82" s="151"/>
      <c r="E82" s="151"/>
      <c r="F82" s="151"/>
      <c r="G82" s="151"/>
      <c r="H82" s="151"/>
      <c r="I82" s="151"/>
      <c r="J82" s="49"/>
      <c r="K82" s="49"/>
      <c r="L82" s="222"/>
      <c r="M82" s="159">
        <f t="shared" si="13"/>
        <v>7.0999999999999908</v>
      </c>
      <c r="N82" s="39">
        <f t="shared" si="14"/>
        <v>9.9571067251612018E-4</v>
      </c>
      <c r="O82" s="39">
        <f t="shared" si="15"/>
        <v>-6.3459426220477131E-3</v>
      </c>
      <c r="P82" s="39">
        <f t="shared" si="16"/>
        <v>-1.1784636319479339E-3</v>
      </c>
      <c r="Q82" s="39">
        <f t="shared" si="20"/>
        <v>-2.2959271425642958E-2</v>
      </c>
      <c r="R82" s="40">
        <f t="shared" si="21"/>
        <v>-2.2959271425642958E-2</v>
      </c>
      <c r="S82" s="40">
        <f t="shared" si="17"/>
        <v>-2.9338615913304267E-2</v>
      </c>
      <c r="T82" s="40" t="e">
        <f t="shared" si="11"/>
        <v>#N/A</v>
      </c>
      <c r="U82" s="39">
        <f t="shared" si="18"/>
        <v>1.0611481412249948E-2</v>
      </c>
      <c r="V82" s="139">
        <f t="shared" si="19"/>
        <v>19.530128248781189</v>
      </c>
    </row>
    <row r="83" spans="1:22">
      <c r="A83" s="323"/>
      <c r="B83" s="324"/>
      <c r="C83" s="151"/>
      <c r="D83" s="151"/>
      <c r="E83" s="151"/>
      <c r="F83" s="151"/>
      <c r="G83" s="151"/>
      <c r="H83" s="151"/>
      <c r="I83" s="151"/>
      <c r="J83" s="49"/>
      <c r="K83" s="49"/>
      <c r="L83" s="222"/>
      <c r="M83" s="159">
        <f t="shared" si="13"/>
        <v>7.1999999999999904</v>
      </c>
      <c r="N83" s="39">
        <f t="shared" si="14"/>
        <v>1.1665086395900583E-3</v>
      </c>
      <c r="O83" s="39">
        <f t="shared" si="15"/>
        <v>-5.9697133807079901E-3</v>
      </c>
      <c r="P83" s="39">
        <f t="shared" si="16"/>
        <v>-1.6313979915565081E-3</v>
      </c>
      <c r="Q83" s="39">
        <f t="shared" si="20"/>
        <v>-2.1598094720361762E-2</v>
      </c>
      <c r="R83" s="40">
        <f t="shared" si="21"/>
        <v>-2.1598094720361762E-2</v>
      </c>
      <c r="S83" s="40">
        <f t="shared" si="17"/>
        <v>-2.7599229684271798E-2</v>
      </c>
      <c r="T83" s="40" t="e">
        <f t="shared" ref="T83:T146" si="22">IF(N83=MAX($N$9:$N$331),N83,#N/A)</f>
        <v>#N/A</v>
      </c>
      <c r="U83" s="39">
        <f t="shared" si="18"/>
        <v>1.2431708414814122E-2</v>
      </c>
      <c r="V83" s="139">
        <f t="shared" si="19"/>
        <v>19.530128248781189</v>
      </c>
    </row>
    <row r="84" spans="1:22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222"/>
      <c r="M84" s="159">
        <f t="shared" si="13"/>
        <v>7.2999999999999901</v>
      </c>
      <c r="N84" s="39">
        <f t="shared" si="14"/>
        <v>1.3495931074652418E-3</v>
      </c>
      <c r="O84" s="39">
        <f t="shared" si="15"/>
        <v>-5.3861068218811906E-3</v>
      </c>
      <c r="P84" s="39">
        <f t="shared" si="16"/>
        <v>-2.1552285957668151E-3</v>
      </c>
      <c r="Q84" s="39">
        <f t="shared" si="20"/>
        <v>-1.948663828466422E-2</v>
      </c>
      <c r="R84" s="40">
        <f t="shared" si="21"/>
        <v>-1.948663828466422E-2</v>
      </c>
      <c r="S84" s="40">
        <f t="shared" si="17"/>
        <v>-2.4901094876935693E-2</v>
      </c>
      <c r="T84" s="40" t="e">
        <f t="shared" si="22"/>
        <v>#N/A</v>
      </c>
      <c r="U84" s="39">
        <f t="shared" si="18"/>
        <v>1.4382875035153555E-2</v>
      </c>
      <c r="V84" s="139">
        <f t="shared" si="19"/>
        <v>19.530128248781189</v>
      </c>
    </row>
    <row r="85" spans="1:22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222"/>
      <c r="M85" s="159">
        <f t="shared" si="13"/>
        <v>7.3999999999999897</v>
      </c>
      <c r="N85" s="39">
        <f t="shared" si="14"/>
        <v>1.5437538548327702E-3</v>
      </c>
      <c r="O85" s="39">
        <f t="shared" si="15"/>
        <v>-4.5626213655137948E-3</v>
      </c>
      <c r="P85" s="39">
        <f t="shared" si="16"/>
        <v>-2.7515271983602229E-3</v>
      </c>
      <c r="Q85" s="39">
        <f t="shared" si="20"/>
        <v>-1.6507313189268433E-2</v>
      </c>
      <c r="R85" s="40">
        <f t="shared" si="21"/>
        <v>-1.6507313189268433E-2</v>
      </c>
      <c r="S85" s="40">
        <f t="shared" si="17"/>
        <v>-2.109394990991121E-2</v>
      </c>
      <c r="T85" s="40" t="e">
        <f t="shared" si="22"/>
        <v>#N/A</v>
      </c>
      <c r="U85" s="39">
        <f t="shared" si="18"/>
        <v>1.6452083710473572E-2</v>
      </c>
      <c r="V85" s="139">
        <f t="shared" si="19"/>
        <v>19.530128248781189</v>
      </c>
    </row>
    <row r="86" spans="1:22">
      <c r="A86" s="230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222"/>
      <c r="M86" s="159">
        <f t="shared" si="13"/>
        <v>7.4999999999999893</v>
      </c>
      <c r="N86" s="39">
        <f t="shared" si="14"/>
        <v>1.7472851857402918E-3</v>
      </c>
      <c r="O86" s="39">
        <f t="shared" si="15"/>
        <v>-3.4647953948158919E-3</v>
      </c>
      <c r="P86" s="39">
        <f t="shared" si="16"/>
        <v>-3.4197412821958743E-3</v>
      </c>
      <c r="Q86" s="39">
        <f t="shared" si="20"/>
        <v>-1.253543919976806E-2</v>
      </c>
      <c r="R86" s="40">
        <f t="shared" si="21"/>
        <v>-1.253543919976806E-2</v>
      </c>
      <c r="S86" s="40">
        <f t="shared" si="17"/>
        <v>-1.601847154330047E-2</v>
      </c>
      <c r="T86" s="40" t="e">
        <f t="shared" si="22"/>
        <v>#N/A</v>
      </c>
      <c r="U86" s="39">
        <f t="shared" si="18"/>
        <v>1.8621156508777534E-2</v>
      </c>
      <c r="V86" s="139">
        <f t="shared" si="19"/>
        <v>19.530128248781189</v>
      </c>
    </row>
    <row r="87" spans="1:22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1"/>
      <c r="M87" s="159">
        <f t="shared" si="13"/>
        <v>7.599999999999989</v>
      </c>
      <c r="N87" s="39">
        <f t="shared" si="14"/>
        <v>1.9579148491648095E-3</v>
      </c>
      <c r="O87" s="39">
        <f t="shared" si="15"/>
        <v>-2.0565112743662216E-3</v>
      </c>
      <c r="P87" s="39">
        <f t="shared" si="16"/>
        <v>-4.1566096914137122E-3</v>
      </c>
      <c r="Q87" s="39">
        <f t="shared" si="20"/>
        <v>-7.4403446974175887E-3</v>
      </c>
      <c r="R87" s="40">
        <f t="shared" si="21"/>
        <v>-7.4403446974175887E-3</v>
      </c>
      <c r="S87" s="40">
        <f t="shared" si="17"/>
        <v>-9.5076804177818847E-3</v>
      </c>
      <c r="T87" s="40" t="e">
        <f t="shared" si="22"/>
        <v>#N/A</v>
      </c>
      <c r="U87" s="39">
        <f t="shared" si="18"/>
        <v>2.086587761099264E-2</v>
      </c>
      <c r="V87" s="139">
        <f t="shared" si="19"/>
        <v>19.530128248781189</v>
      </c>
    </row>
    <row r="88" spans="1:22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1"/>
      <c r="M88" s="159">
        <f t="shared" si="13"/>
        <v>7.6999999999999886</v>
      </c>
      <c r="N88" s="39">
        <f t="shared" si="14"/>
        <v>2.1727295576917036E-3</v>
      </c>
      <c r="O88" s="39">
        <f t="shared" si="15"/>
        <v>-3.0040005016121495E-4</v>
      </c>
      <c r="P88" s="39">
        <f t="shared" si="16"/>
        <v>-4.955508218638334E-3</v>
      </c>
      <c r="Q88" s="39">
        <f t="shared" si="20"/>
        <v>-1.0868308616541786E-3</v>
      </c>
      <c r="R88" s="40">
        <f t="shared" si="21"/>
        <v>-1.0868308616541786E-3</v>
      </c>
      <c r="S88" s="40">
        <f t="shared" si="17"/>
        <v>-1.3888120673195329E-3</v>
      </c>
      <c r="T88" s="40" t="e">
        <f t="shared" si="22"/>
        <v>#N/A</v>
      </c>
      <c r="U88" s="39">
        <f t="shared" si="18"/>
        <v>2.3155199549112295E-2</v>
      </c>
      <c r="V88" s="139">
        <f t="shared" si="19"/>
        <v>19.530128248781189</v>
      </c>
    </row>
    <row r="89" spans="1:22">
      <c r="A89" s="227"/>
      <c r="B89" s="209"/>
      <c r="C89" s="210"/>
      <c r="D89" s="49"/>
      <c r="E89" s="49"/>
      <c r="F89" s="49"/>
      <c r="G89" s="49"/>
      <c r="H89" s="49"/>
      <c r="I89" s="49"/>
      <c r="J89" s="49"/>
      <c r="K89" s="49"/>
      <c r="L89" s="1"/>
      <c r="M89" s="159">
        <f t="shared" si="13"/>
        <v>7.7999999999999883</v>
      </c>
      <c r="N89" s="39">
        <f t="shared" si="14"/>
        <v>2.3880979429207212E-3</v>
      </c>
      <c r="O89" s="39">
        <f t="shared" si="15"/>
        <v>1.8416399514057857E-3</v>
      </c>
      <c r="P89" s="39">
        <f t="shared" si="16"/>
        <v>-5.8057284504863891E-3</v>
      </c>
      <c r="Q89" s="39">
        <f t="shared" si="20"/>
        <v>6.6629520673147091E-3</v>
      </c>
      <c r="R89" s="40">
        <f t="shared" si="21"/>
        <v>6.6629520673147091E-3</v>
      </c>
      <c r="S89" s="40">
        <f t="shared" si="17"/>
        <v>8.5142854896245283E-3</v>
      </c>
      <c r="T89" s="40" t="e">
        <f t="shared" si="22"/>
        <v>#N/A</v>
      </c>
      <c r="U89" s="39">
        <f t="shared" si="18"/>
        <v>2.5450422127041433E-2</v>
      </c>
      <c r="V89" s="139">
        <f t="shared" si="19"/>
        <v>19.530128248781189</v>
      </c>
    </row>
    <row r="90" spans="1:22">
      <c r="A90" s="227"/>
      <c r="B90" s="209"/>
      <c r="C90" s="210"/>
      <c r="D90" s="49"/>
      <c r="E90" s="49"/>
      <c r="F90" s="49"/>
      <c r="G90" s="49"/>
      <c r="H90" s="49"/>
      <c r="I90" s="49"/>
      <c r="J90" s="49"/>
      <c r="K90" s="49"/>
      <c r="L90" s="1"/>
      <c r="M90" s="159">
        <f t="shared" si="13"/>
        <v>7.8999999999999879</v>
      </c>
      <c r="N90" s="39">
        <f t="shared" si="14"/>
        <v>2.5995920203976384E-3</v>
      </c>
      <c r="O90" s="39">
        <f t="shared" si="15"/>
        <v>4.4077969568408603E-3</v>
      </c>
      <c r="P90" s="39">
        <f t="shared" si="16"/>
        <v>-6.6916964818552688E-3</v>
      </c>
      <c r="Q90" s="39">
        <f t="shared" si="20"/>
        <v>1.5947166992911939E-2</v>
      </c>
      <c r="R90" s="40">
        <f t="shared" si="21"/>
        <v>1.5947166992911939E-2</v>
      </c>
      <c r="S90" s="40">
        <f t="shared" si="17"/>
        <v>2.0378164386689136E-2</v>
      </c>
      <c r="T90" s="40" t="e">
        <f t="shared" si="22"/>
        <v>#N/A</v>
      </c>
      <c r="U90" s="39">
        <f t="shared" si="18"/>
        <v>2.7704355457168438E-2</v>
      </c>
      <c r="V90" s="139">
        <f t="shared" si="19"/>
        <v>19.530128248781189</v>
      </c>
    </row>
    <row r="91" spans="1:22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1"/>
      <c r="M91" s="159">
        <f t="shared" si="13"/>
        <v>7.9999999999999876</v>
      </c>
      <c r="N91" s="39">
        <f t="shared" si="14"/>
        <v>2.8019085002297653E-3</v>
      </c>
      <c r="O91" s="39">
        <f t="shared" si="15"/>
        <v>7.4355580814869189E-3</v>
      </c>
      <c r="P91" s="39">
        <f t="shared" si="16"/>
        <v>-7.5921421224006882E-3</v>
      </c>
      <c r="Q91" s="39">
        <f t="shared" si="20"/>
        <v>2.690144023692807E-2</v>
      </c>
      <c r="R91" s="40">
        <f t="shared" si="21"/>
        <v>2.690144023692807E-2</v>
      </c>
      <c r="S91" s="40">
        <f t="shared" si="17"/>
        <v>3.4376135374419407E-2</v>
      </c>
      <c r="T91" s="40" t="e">
        <f t="shared" si="22"/>
        <v>#N/A</v>
      </c>
      <c r="U91" s="39">
        <f t="shared" si="18"/>
        <v>2.9860481352359844E-2</v>
      </c>
      <c r="V91" s="139">
        <f t="shared" si="19"/>
        <v>19.530128248781189</v>
      </c>
    </row>
    <row r="92" spans="1:22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1"/>
      <c r="M92" s="159">
        <f t="shared" si="13"/>
        <v>8.0999999999999872</v>
      </c>
      <c r="N92" s="39">
        <f t="shared" si="14"/>
        <v>2.9887915716139669E-3</v>
      </c>
      <c r="O92" s="39">
        <f t="shared" si="15"/>
        <v>1.0960766215381116E-2</v>
      </c>
      <c r="P92" s="39">
        <f t="shared" si="16"/>
        <v>-8.4792339955771373E-3</v>
      </c>
      <c r="Q92" s="39">
        <f t="shared" si="20"/>
        <v>3.9655449404417932E-2</v>
      </c>
      <c r="R92" s="40">
        <f t="shared" si="21"/>
        <v>3.9655449404417932E-2</v>
      </c>
      <c r="S92" s="40">
        <f t="shared" si="17"/>
        <v>5.0673907606939968E-2</v>
      </c>
      <c r="T92" s="40" t="e">
        <f t="shared" si="22"/>
        <v>#N/A</v>
      </c>
      <c r="U92" s="39">
        <f t="shared" si="18"/>
        <v>3.1852130425726113E-2</v>
      </c>
      <c r="V92" s="139">
        <f t="shared" si="19"/>
        <v>19.530128248781189</v>
      </c>
    </row>
    <row r="93" spans="1:22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1"/>
      <c r="M93" s="159">
        <f t="shared" si="13"/>
        <v>8.1999999999999869</v>
      </c>
      <c r="N93" s="39">
        <f t="shared" si="14"/>
        <v>3.1529591103269627E-3</v>
      </c>
      <c r="O93" s="39">
        <f t="shared" si="15"/>
        <v>1.501650777285731E-2</v>
      </c>
      <c r="P93" s="39">
        <f t="shared" si="16"/>
        <v>-9.3177015193621655E-3</v>
      </c>
      <c r="Q93" s="39">
        <f t="shared" si="20"/>
        <v>5.4328899322928038E-2</v>
      </c>
      <c r="R93" s="40">
        <f t="shared" si="21"/>
        <v>5.4328899322928038E-2</v>
      </c>
      <c r="S93" s="40">
        <f t="shared" si="17"/>
        <v>6.9424446476455431E-2</v>
      </c>
      <c r="T93" s="40" t="e">
        <f t="shared" si="22"/>
        <v>#N/A</v>
      </c>
      <c r="U93" s="39">
        <f t="shared" si="18"/>
        <v>3.3601695669559103E-2</v>
      </c>
      <c r="V93" s="139">
        <f t="shared" si="19"/>
        <v>19.530128248781189</v>
      </c>
    </row>
    <row r="94" spans="1:22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1"/>
      <c r="M94" s="159">
        <f t="shared" si="13"/>
        <v>8.2999999999999865</v>
      </c>
      <c r="N94" s="39">
        <f t="shared" si="14"/>
        <v>3.2860346072386228E-3</v>
      </c>
      <c r="O94" s="39">
        <f t="shared" si="15"/>
        <v>1.9631818232869511E-2</v>
      </c>
      <c r="P94" s="39">
        <f t="shared" si="16"/>
        <v>-1.0063971190831293E-2</v>
      </c>
      <c r="Q94" s="39">
        <f t="shared" si="20"/>
        <v>7.1026838758572755E-2</v>
      </c>
      <c r="R94" s="40">
        <f t="shared" si="21"/>
        <v>7.1026838758572755E-2</v>
      </c>
      <c r="S94" s="40">
        <f t="shared" si="17"/>
        <v>9.0761989056262177E-2</v>
      </c>
      <c r="T94" s="40" t="e">
        <f t="shared" si="22"/>
        <v>#N/A</v>
      </c>
      <c r="U94" s="39">
        <f t="shared" si="18"/>
        <v>3.5019907004319249E-2</v>
      </c>
      <c r="V94" s="139">
        <f t="shared" si="19"/>
        <v>19.530128248781189</v>
      </c>
    </row>
    <row r="95" spans="1:22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1"/>
      <c r="M95" s="159">
        <f t="shared" si="13"/>
        <v>8.3999999999999861</v>
      </c>
      <c r="N95" s="39">
        <f t="shared" si="14"/>
        <v>3.3784874918342247E-3</v>
      </c>
      <c r="O95" s="39">
        <f t="shared" si="15"/>
        <v>2.4830193418748942E-2</v>
      </c>
      <c r="P95" s="39">
        <f t="shared" si="16"/>
        <v>-1.0665351885900511E-2</v>
      </c>
      <c r="Q95" s="39">
        <f t="shared" si="20"/>
        <v>8.9834274308064191E-2</v>
      </c>
      <c r="R95" s="40">
        <f t="shared" si="21"/>
        <v>8.9834274308064191E-2</v>
      </c>
      <c r="S95" s="40">
        <f t="shared" si="17"/>
        <v>0.11479516143665715</v>
      </c>
      <c r="T95" s="40" t="e">
        <f t="shared" si="22"/>
        <v>#N/A</v>
      </c>
      <c r="U95" s="39">
        <f t="shared" si="18"/>
        <v>3.6005195294858523E-2</v>
      </c>
      <c r="V95" s="139">
        <f t="shared" si="19"/>
        <v>19.530128248781189</v>
      </c>
    </row>
    <row r="96" spans="1:22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1"/>
      <c r="M96" s="159">
        <f t="shared" si="13"/>
        <v>8.4999999999999858</v>
      </c>
      <c r="N96" s="39">
        <f t="shared" si="14"/>
        <v>3.4195849254499127E-3</v>
      </c>
      <c r="O96" s="39">
        <f t="shared" si="15"/>
        <v>3.062789596315818E-2</v>
      </c>
      <c r="P96" s="39">
        <f t="shared" si="16"/>
        <v>-1.1059312015598075E-2</v>
      </c>
      <c r="Q96" s="39">
        <f t="shared" si="20"/>
        <v>0.11081004328204841</v>
      </c>
      <c r="R96" s="40">
        <f t="shared" si="21"/>
        <v>0.11081004328204841</v>
      </c>
      <c r="S96" s="40">
        <f t="shared" si="17"/>
        <v>0.14159914915930735</v>
      </c>
      <c r="T96" s="40" t="e">
        <f t="shared" si="22"/>
        <v>#N/A</v>
      </c>
      <c r="U96" s="39">
        <f t="shared" si="18"/>
        <v>3.6443178601597646E-2</v>
      </c>
      <c r="V96" s="139">
        <f t="shared" si="19"/>
        <v>19.530128248781189</v>
      </c>
    </row>
    <row r="97" spans="1:22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1"/>
      <c r="M97" s="159">
        <f t="shared" si="13"/>
        <v>8.5999999999999854</v>
      </c>
      <c r="N97" s="39">
        <f t="shared" si="14"/>
        <v>3.3973585613356677E-3</v>
      </c>
      <c r="O97" s="39">
        <f t="shared" si="15"/>
        <v>3.7032048447512844E-2</v>
      </c>
      <c r="P97" s="39">
        <f t="shared" si="16"/>
        <v>-1.1172900301797503E-2</v>
      </c>
      <c r="Q97" s="39">
        <f t="shared" si="20"/>
        <v>0.13397991478839669</v>
      </c>
      <c r="R97" s="40">
        <f t="shared" si="21"/>
        <v>0.13397991478839669</v>
      </c>
      <c r="S97" s="40">
        <f t="shared" si="17"/>
        <v>0.17120688140320317</v>
      </c>
      <c r="T97" s="40" t="e">
        <f t="shared" si="22"/>
        <v>#N/A</v>
      </c>
      <c r="U97" s="39">
        <f t="shared" si="18"/>
        <v>3.6206307936081719E-2</v>
      </c>
      <c r="V97" s="139">
        <f t="shared" si="19"/>
        <v>19.530128248781189</v>
      </c>
    </row>
    <row r="98" spans="1:22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1"/>
      <c r="M98" s="159">
        <f t="shared" si="13"/>
        <v>8.6999999999999851</v>
      </c>
      <c r="N98" s="39">
        <f t="shared" si="14"/>
        <v>3.2985902085295058E-3</v>
      </c>
      <c r="O98" s="39">
        <f t="shared" si="15"/>
        <v>4.4038507370061063E-2</v>
      </c>
      <c r="P98" s="39">
        <f t="shared" si="16"/>
        <v>-1.0922371556946977E-2</v>
      </c>
      <c r="Q98" s="39">
        <f t="shared" si="20"/>
        <v>0.15932889786563337</v>
      </c>
      <c r="R98" s="40">
        <f t="shared" si="21"/>
        <v>0.15932889786563337</v>
      </c>
      <c r="S98" s="40">
        <f t="shared" si="17"/>
        <v>0.20359920189579778</v>
      </c>
      <c r="T98" s="40" t="e">
        <f t="shared" si="22"/>
        <v>#N/A</v>
      </c>
      <c r="U98" s="39">
        <f t="shared" si="18"/>
        <v>3.5153714478111962E-2</v>
      </c>
      <c r="V98" s="139">
        <f t="shared" si="19"/>
        <v>19.530128248781189</v>
      </c>
    </row>
    <row r="99" spans="1:22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1"/>
      <c r="M99" s="159">
        <f t="shared" si="13"/>
        <v>8.7999999999999847</v>
      </c>
      <c r="N99" s="39">
        <f t="shared" si="14"/>
        <v>3.1088207883432344E-3</v>
      </c>
      <c r="O99" s="39">
        <f t="shared" si="15"/>
        <v>5.1629515461198282E-2</v>
      </c>
      <c r="P99" s="39">
        <f t="shared" si="16"/>
        <v>-1.0213089031630091E-2</v>
      </c>
      <c r="Q99" s="39">
        <f t="shared" si="20"/>
        <v>0.18679274768885051</v>
      </c>
      <c r="R99" s="40">
        <f t="shared" si="21"/>
        <v>0.18679274768885051</v>
      </c>
      <c r="S99" s="40">
        <f t="shared" si="17"/>
        <v>0.23869401507719962</v>
      </c>
      <c r="T99" s="40" t="e">
        <f t="shared" si="22"/>
        <v>#N/A</v>
      </c>
      <c r="U99" s="39">
        <f t="shared" si="18"/>
        <v>3.3131305026748499E-2</v>
      </c>
      <c r="V99" s="139">
        <f t="shared" si="19"/>
        <v>19.530128248781189</v>
      </c>
    </row>
    <row r="100" spans="1:22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1"/>
      <c r="M100" s="159">
        <f t="shared" si="13"/>
        <v>8.8999999999999844</v>
      </c>
      <c r="N100" s="39">
        <f t="shared" si="14"/>
        <v>2.8123874290634735E-3</v>
      </c>
      <c r="O100" s="39">
        <f t="shared" si="15"/>
        <v>5.9771134008591284E-2</v>
      </c>
      <c r="P100" s="39">
        <f t="shared" si="16"/>
        <v>-8.9397854281910074E-3</v>
      </c>
      <c r="Q100" s="39">
        <f t="shared" si="20"/>
        <v>0.21624867586321014</v>
      </c>
      <c r="R100" s="40">
        <f t="shared" si="21"/>
        <v>0.21624867586321014</v>
      </c>
      <c r="S100" s="40">
        <f t="shared" si="17"/>
        <v>0.27633441520384322</v>
      </c>
      <c r="T100" s="40" t="e">
        <f t="shared" si="22"/>
        <v>#N/A</v>
      </c>
      <c r="U100" s="39">
        <f t="shared" si="18"/>
        <v>2.9972157325720856E-2</v>
      </c>
      <c r="V100" s="139">
        <f t="shared" si="19"/>
        <v>19.530128248781189</v>
      </c>
    </row>
    <row r="101" spans="1:22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1"/>
      <c r="M101" s="159">
        <f t="shared" si="13"/>
        <v>8.999999999999984</v>
      </c>
      <c r="N101" s="39">
        <f t="shared" si="14"/>
        <v>2.3924939976959951E-3</v>
      </c>
      <c r="O101" s="39">
        <f t="shared" si="15"/>
        <v>6.841046185931221E-2</v>
      </c>
      <c r="P101" s="39">
        <f t="shared" si="16"/>
        <v>-6.9872752953574592E-3</v>
      </c>
      <c r="Q101" s="39">
        <f t="shared" si="20"/>
        <v>0.24750528892659993</v>
      </c>
      <c r="R101" s="40">
        <f t="shared" si="21"/>
        <v>0.24750528892659993</v>
      </c>
      <c r="S101" s="40">
        <f t="shared" si="17"/>
        <v>0.31627582921549796</v>
      </c>
      <c r="T101" s="40" t="e">
        <f t="shared" si="22"/>
        <v>#N/A</v>
      </c>
      <c r="U101" s="39">
        <f t="shared" si="18"/>
        <v>2.549727173388272E-2</v>
      </c>
      <c r="V101" s="139">
        <f t="shared" si="19"/>
        <v>19.530128248781189</v>
      </c>
    </row>
    <row r="102" spans="1:22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1"/>
      <c r="M102" s="159">
        <f t="shared" si="13"/>
        <v>9.0999999999999837</v>
      </c>
      <c r="N102" s="39">
        <f t="shared" si="14"/>
        <v>1.8313208068817652E-3</v>
      </c>
      <c r="O102" s="39">
        <f t="shared" si="15"/>
        <v>7.7472653711773407E-2</v>
      </c>
      <c r="P102" s="39">
        <f t="shared" si="16"/>
        <v>-4.2317218645190769E-3</v>
      </c>
      <c r="Q102" s="39">
        <f t="shared" si="20"/>
        <v>0.28029180069382564</v>
      </c>
      <c r="R102" s="40">
        <f t="shared" si="21"/>
        <v>0.28029180069382564</v>
      </c>
      <c r="S102" s="40">
        <f t="shared" si="17"/>
        <v>0.3581722316771771</v>
      </c>
      <c r="T102" s="40" t="e">
        <f t="shared" si="22"/>
        <v>#N/A</v>
      </c>
      <c r="U102" s="39">
        <f t="shared" si="18"/>
        <v>1.9516740393056113E-2</v>
      </c>
      <c r="V102" s="139">
        <f t="shared" si="19"/>
        <v>19.530128248781189</v>
      </c>
    </row>
    <row r="103" spans="1:22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1"/>
      <c r="M103" s="159">
        <f t="shared" si="13"/>
        <v>9.1999999999999833</v>
      </c>
      <c r="N103" s="39">
        <f t="shared" si="14"/>
        <v>1.1101796482038842E-3</v>
      </c>
      <c r="O103" s="39">
        <f t="shared" si="15"/>
        <v>8.6857757274674929E-2</v>
      </c>
      <c r="P103" s="39">
        <f t="shared" si="16"/>
        <v>-5.425710189574536E-4</v>
      </c>
      <c r="Q103" s="39">
        <f t="shared" si="20"/>
        <v>0.31424658927161697</v>
      </c>
      <c r="R103" s="40">
        <f t="shared" si="21"/>
        <v>0.31424658927161697</v>
      </c>
      <c r="S103" s="40">
        <f t="shared" si="17"/>
        <v>0.40156152230547815</v>
      </c>
      <c r="T103" s="40" t="e">
        <f t="shared" si="22"/>
        <v>#N/A</v>
      </c>
      <c r="U103" s="39">
        <f t="shared" si="18"/>
        <v>1.1831399447998766E-2</v>
      </c>
      <c r="V103" s="139">
        <f t="shared" si="19"/>
        <v>19.530128248781189</v>
      </c>
    </row>
    <row r="104" spans="1:22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1"/>
      <c r="M104" s="159">
        <f t="shared" si="13"/>
        <v>9.2999999999999829</v>
      </c>
      <c r="N104" s="39">
        <f t="shared" si="14"/>
        <v>2.0972067559819804E-4</v>
      </c>
      <c r="O104" s="39">
        <f t="shared" si="15"/>
        <v>9.6437396926566374E-2</v>
      </c>
      <c r="P104" s="39">
        <f t="shared" si="16"/>
        <v>4.214726542124435E-3</v>
      </c>
      <c r="Q104" s="39">
        <f t="shared" si="20"/>
        <v>0.34890519872129661</v>
      </c>
      <c r="R104" s="40">
        <f t="shared" si="21"/>
        <v>0.34890519872129661</v>
      </c>
      <c r="S104" s="40">
        <f t="shared" si="17"/>
        <v>0.44585019383525831</v>
      </c>
      <c r="T104" s="40" t="e">
        <f t="shared" si="22"/>
        <v>#N/A</v>
      </c>
      <c r="U104" s="39">
        <f t="shared" si="18"/>
        <v>2.2350338429648104E-3</v>
      </c>
      <c r="V104" s="139">
        <f t="shared" si="19"/>
        <v>19.530128248781189</v>
      </c>
    </row>
    <row r="105" spans="1:22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1"/>
      <c r="M105" s="159">
        <f t="shared" si="13"/>
        <v>9.3999999999999826</v>
      </c>
      <c r="N105" s="39">
        <f t="shared" si="14"/>
        <v>-8.8980202216458004E-4</v>
      </c>
      <c r="O105" s="39">
        <f t="shared" si="15"/>
        <v>0.10605134072391667</v>
      </c>
      <c r="P105" s="39">
        <f t="shared" si="16"/>
        <v>1.0175077427721824E-2</v>
      </c>
      <c r="Q105" s="39">
        <f t="shared" si="20"/>
        <v>0.38368791868276658</v>
      </c>
      <c r="R105" s="40">
        <f t="shared" si="21"/>
        <v>0.38368791868276658</v>
      </c>
      <c r="S105" s="40">
        <f t="shared" si="17"/>
        <v>0.49029746058213908</v>
      </c>
      <c r="T105" s="40" t="e">
        <f t="shared" si="22"/>
        <v>#N/A</v>
      </c>
      <c r="U105" s="39">
        <f t="shared" si="18"/>
        <v>-9.4827924209369106E-3</v>
      </c>
      <c r="V105" s="139">
        <f t="shared" si="19"/>
        <v>19.530128248781189</v>
      </c>
    </row>
    <row r="106" spans="1:22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1"/>
      <c r="M106" s="159">
        <f t="shared" si="13"/>
        <v>9.4999999999999822</v>
      </c>
      <c r="N106" s="39">
        <f t="shared" si="14"/>
        <v>-2.2081990819686377E-3</v>
      </c>
      <c r="O106" s="39">
        <f t="shared" si="15"/>
        <v>0.11550399803348653</v>
      </c>
      <c r="P106" s="39">
        <f t="shared" si="16"/>
        <v>1.7469060683978282E-2</v>
      </c>
      <c r="Q106" s="39">
        <f t="shared" si="20"/>
        <v>0.41788711300103665</v>
      </c>
      <c r="R106" s="40">
        <f t="shared" si="21"/>
        <v>0.41788711300103665</v>
      </c>
      <c r="S106" s="40">
        <f t="shared" si="17"/>
        <v>0.53399906626669691</v>
      </c>
      <c r="T106" s="40" t="e">
        <f t="shared" si="22"/>
        <v>#N/A</v>
      </c>
      <c r="U106" s="39">
        <f t="shared" si="18"/>
        <v>-2.3533205136433085E-2</v>
      </c>
      <c r="V106" s="139">
        <f t="shared" si="19"/>
        <v>19.530128248781189</v>
      </c>
    </row>
    <row r="107" spans="1:22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1"/>
      <c r="M107" s="159">
        <f t="shared" si="13"/>
        <v>9.5999999999999819</v>
      </c>
      <c r="N107" s="39">
        <f t="shared" si="14"/>
        <v>-3.7649415406687536E-3</v>
      </c>
      <c r="O107" s="39">
        <f t="shared" si="15"/>
        <v>0.12456090674843566</v>
      </c>
      <c r="P107" s="39">
        <f t="shared" si="16"/>
        <v>2.6217064465468877E-2</v>
      </c>
      <c r="Q107" s="39">
        <f t="shared" si="20"/>
        <v>0.45065451066727807</v>
      </c>
      <c r="R107" s="40">
        <f t="shared" si="21"/>
        <v>0.45065451066727807</v>
      </c>
      <c r="S107" s="40">
        <f t="shared" si="17"/>
        <v>0.57587104368208819</v>
      </c>
      <c r="T107" s="40" t="e">
        <f t="shared" si="22"/>
        <v>#N/A</v>
      </c>
      <c r="U107" s="39">
        <f t="shared" si="18"/>
        <v>-4.0123710912988497E-2</v>
      </c>
      <c r="V107" s="139">
        <f t="shared" si="19"/>
        <v>19.530128248781189</v>
      </c>
    </row>
    <row r="108" spans="1:22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1"/>
      <c r="M108" s="159">
        <f t="shared" si="13"/>
        <v>9.6999999999999815</v>
      </c>
      <c r="N108" s="39">
        <f t="shared" si="14"/>
        <v>-5.5786762848156531E-3</v>
      </c>
      <c r="O108" s="39">
        <f t="shared" si="15"/>
        <v>0.13294528201170192</v>
      </c>
      <c r="P108" s="39">
        <f t="shared" si="16"/>
        <v>3.6522117220461357E-2</v>
      </c>
      <c r="Q108" s="39">
        <f t="shared" si="20"/>
        <v>0.48098871928980436</v>
      </c>
      <c r="R108" s="40">
        <f t="shared" si="21"/>
        <v>0.48098871928980436</v>
      </c>
      <c r="S108" s="40">
        <f t="shared" si="17"/>
        <v>0.61463375872261639</v>
      </c>
      <c r="T108" s="40" t="e">
        <f t="shared" si="22"/>
        <v>#N/A</v>
      </c>
      <c r="U108" s="39">
        <f t="shared" si="18"/>
        <v>-5.9453033230717441E-2</v>
      </c>
      <c r="V108" s="139">
        <f t="shared" si="19"/>
        <v>19.530128248781189</v>
      </c>
    </row>
    <row r="109" spans="1:22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1"/>
      <c r="M109" s="159">
        <f t="shared" si="13"/>
        <v>9.7999999999999812</v>
      </c>
      <c r="N109" s="39">
        <f t="shared" si="14"/>
        <v>-7.6666541667828499E-3</v>
      </c>
      <c r="O109" s="39">
        <f t="shared" si="15"/>
        <v>0.14033471261777627</v>
      </c>
      <c r="P109" s="39">
        <f t="shared" si="16"/>
        <v>4.8461296563590328E-2</v>
      </c>
      <c r="Q109" s="39">
        <f t="shared" si="20"/>
        <v>0.50772327285736718</v>
      </c>
      <c r="R109" s="40">
        <f t="shared" si="21"/>
        <v>0.50772327285736718</v>
      </c>
      <c r="S109" s="40">
        <f t="shared" si="17"/>
        <v>0.64879663716031566</v>
      </c>
      <c r="T109" s="40" t="e">
        <f t="shared" si="22"/>
        <v>#N/A</v>
      </c>
      <c r="U109" s="39">
        <f t="shared" si="18"/>
        <v>-8.1705017763227528E-2</v>
      </c>
      <c r="V109" s="139">
        <f t="shared" si="19"/>
        <v>19.530128248781189</v>
      </c>
    </row>
    <row r="110" spans="1:22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1"/>
      <c r="M110" s="159">
        <f t="shared" si="13"/>
        <v>9.8999999999999808</v>
      </c>
      <c r="N110" s="39">
        <f t="shared" si="14"/>
        <v>-1.0044063985780356E-2</v>
      </c>
      <c r="O110" s="39">
        <f t="shared" si="15"/>
        <v>0.14635810677165476</v>
      </c>
      <c r="P110" s="39">
        <f t="shared" si="16"/>
        <v>6.2075616256728271E-2</v>
      </c>
      <c r="Q110" s="39">
        <f t="shared" si="20"/>
        <v>0.52951558166300572</v>
      </c>
      <c r="R110" s="40">
        <f t="shared" si="21"/>
        <v>0.52951558166300572</v>
      </c>
      <c r="S110" s="40">
        <f t="shared" si="17"/>
        <v>0.67664404425175562</v>
      </c>
      <c r="T110" s="40" t="e">
        <f t="shared" si="22"/>
        <v>#N/A</v>
      </c>
      <c r="U110" s="39">
        <f t="shared" si="18"/>
        <v>-0.10704153448433772</v>
      </c>
      <c r="V110" s="139">
        <f t="shared" si="19"/>
        <v>19.530128248781189</v>
      </c>
    </row>
    <row r="111" spans="1:22" ht="14.65" hidden="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1"/>
      <c r="M111" s="159">
        <f t="shared" si="13"/>
        <v>9.9999999999999805</v>
      </c>
      <c r="N111" s="39">
        <f t="shared" si="14"/>
        <v>-1.2723266049816386E-2</v>
      </c>
      <c r="O111" s="39">
        <f t="shared" si="15"/>
        <v>0.15059300559638181</v>
      </c>
      <c r="P111" s="39">
        <f t="shared" si="16"/>
        <v>7.7358317402978799E-2</v>
      </c>
      <c r="Q111" s="39">
        <f t="shared" si="20"/>
        <v>0.54483721272207608</v>
      </c>
      <c r="R111" s="40">
        <f t="shared" si="21"/>
        <v>0.54483721272207608</v>
      </c>
      <c r="S111" s="40">
        <f t="shared" si="17"/>
        <v>0.6962228645232631</v>
      </c>
      <c r="T111" s="40" t="e">
        <f t="shared" si="22"/>
        <v>#N/A</v>
      </c>
      <c r="U111" s="39">
        <f t="shared" si="18"/>
        <v>-0.13559430958951743</v>
      </c>
      <c r="V111" s="139">
        <f t="shared" si="19"/>
        <v>19.530128248781189</v>
      </c>
    </row>
    <row r="112" spans="1:22" ht="14.65" hidden="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1"/>
      <c r="M112" s="159">
        <f t="shared" si="13"/>
        <v>10.09999999999998</v>
      </c>
      <c r="N112" s="39">
        <f t="shared" si="14"/>
        <v>-1.5712919796809534E-2</v>
      </c>
      <c r="O112" s="39">
        <f t="shared" si="15"/>
        <v>0.15256340060577148</v>
      </c>
      <c r="P112" s="39">
        <f t="shared" si="16"/>
        <v>9.4241525567143325E-2</v>
      </c>
      <c r="Q112" s="39">
        <f t="shared" si="20"/>
        <v>0.55196599350857978</v>
      </c>
      <c r="R112" s="40">
        <f t="shared" si="21"/>
        <v>0.55196599350857978</v>
      </c>
      <c r="S112" s="40">
        <f t="shared" si="17"/>
        <v>0.7053324114922398</v>
      </c>
      <c r="T112" s="40" t="e">
        <f t="shared" si="22"/>
        <v>#N/A</v>
      </c>
      <c r="U112" s="39">
        <f t="shared" si="18"/>
        <v>-0.16745562838518155</v>
      </c>
      <c r="V112" s="139">
        <f t="shared" si="19"/>
        <v>19.530128248781189</v>
      </c>
    </row>
    <row r="113" spans="1:22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1"/>
      <c r="M113" s="159">
        <f t="shared" si="13"/>
        <v>10.19999999999998</v>
      </c>
      <c r="N113" s="39">
        <f t="shared" si="14"/>
        <v>-1.9017000996530288E-2</v>
      </c>
      <c r="O113" s="39">
        <f t="shared" si="15"/>
        <v>0.15173821016066846</v>
      </c>
      <c r="P113" s="39">
        <f t="shared" si="16"/>
        <v>0.11258128262700291</v>
      </c>
      <c r="Q113" s="39">
        <f t="shared" si="20"/>
        <v>0.54898049985770059</v>
      </c>
      <c r="R113" s="40">
        <f t="shared" si="21"/>
        <v>0.54898049985770059</v>
      </c>
      <c r="S113" s="40">
        <f t="shared" si="17"/>
        <v>0.70151738400678898</v>
      </c>
      <c r="T113" s="40" t="e">
        <f t="shared" si="22"/>
        <v>#N/A</v>
      </c>
      <c r="U113" s="39">
        <f t="shared" si="18"/>
        <v>-0.20266786141950574</v>
      </c>
      <c r="V113" s="139">
        <f t="shared" si="19"/>
        <v>19.530128248781189</v>
      </c>
    </row>
    <row r="114" spans="1:22" ht="18">
      <c r="A114" s="221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1"/>
      <c r="M114" s="159">
        <f t="shared" si="13"/>
        <v>10.299999999999979</v>
      </c>
      <c r="N114" s="39">
        <f t="shared" si="14"/>
        <v>-2.2633705418637809E-2</v>
      </c>
      <c r="O114" s="39">
        <f t="shared" si="15"/>
        <v>0.14753058951960948</v>
      </c>
      <c r="P114" s="39">
        <f t="shared" si="16"/>
        <v>0.13214102232723182</v>
      </c>
      <c r="Q114" s="39">
        <f t="shared" si="20"/>
        <v>0.53375755976703865</v>
      </c>
      <c r="R114" s="40">
        <f t="shared" si="21"/>
        <v>0.53375755976703865</v>
      </c>
      <c r="S114" s="40">
        <f t="shared" si="17"/>
        <v>0.68206467646606328</v>
      </c>
      <c r="T114" s="40" t="e">
        <f t="shared" si="22"/>
        <v>#N/A</v>
      </c>
      <c r="U114" s="39">
        <f t="shared" si="18"/>
        <v>-0.24121178066043847</v>
      </c>
      <c r="V114" s="139">
        <f t="shared" si="19"/>
        <v>19.530128248781189</v>
      </c>
    </row>
    <row r="115" spans="1:22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1"/>
      <c r="M115" s="159">
        <f t="shared" si="13"/>
        <v>10.399999999999979</v>
      </c>
      <c r="N115" s="39">
        <f t="shared" si="14"/>
        <v>-2.6554237576176237E-2</v>
      </c>
      <c r="O115" s="39">
        <f t="shared" si="15"/>
        <v>0.13929826923513344</v>
      </c>
      <c r="P115" s="39">
        <f t="shared" si="16"/>
        <v>0.15257363333490984</v>
      </c>
      <c r="Q115" s="39">
        <f t="shared" si="20"/>
        <v>0.50397347769585188</v>
      </c>
      <c r="R115" s="40">
        <f t="shared" si="21"/>
        <v>0.50397347769585188</v>
      </c>
      <c r="S115" s="40">
        <f t="shared" si="17"/>
        <v>0.64400494329696456</v>
      </c>
      <c r="T115" s="40" t="e">
        <f t="shared" si="22"/>
        <v>#N/A</v>
      </c>
      <c r="U115" s="39">
        <f t="shared" si="18"/>
        <v>-0.28299365090063483</v>
      </c>
      <c r="V115" s="139">
        <f t="shared" si="19"/>
        <v>19.530128248781189</v>
      </c>
    </row>
    <row r="116" spans="1:22" ht="17.649999999999999" hidden="1" customHeight="1">
      <c r="A116" s="221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222"/>
      <c r="M116" s="159">
        <f t="shared" si="13"/>
        <v>10.499999999999979</v>
      </c>
      <c r="N116" s="39">
        <f t="shared" si="14"/>
        <v>-3.0761485280024935E-2</v>
      </c>
      <c r="O116" s="39">
        <f t="shared" si="15"/>
        <v>0.12634513702843028</v>
      </c>
      <c r="P116" s="39">
        <f t="shared" si="16"/>
        <v>0.17340234459557707</v>
      </c>
      <c r="Q116" s="39">
        <f t="shared" si="20"/>
        <v>0.45710975770054368</v>
      </c>
      <c r="R116" s="40">
        <f t="shared" si="21"/>
        <v>0.45710975770054368</v>
      </c>
      <c r="S116" s="40">
        <f t="shared" si="17"/>
        <v>0.58411991229047755</v>
      </c>
      <c r="T116" s="40" t="e">
        <f t="shared" si="22"/>
        <v>#N/A</v>
      </c>
      <c r="U116" s="39">
        <f t="shared" si="18"/>
        <v>-0.32783110422761919</v>
      </c>
      <c r="V116" s="139">
        <f t="shared" si="19"/>
        <v>19.530128248781189</v>
      </c>
    </row>
    <row r="117" spans="1:22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222"/>
      <c r="M117" s="159">
        <f t="shared" si="13"/>
        <v>10.599999999999978</v>
      </c>
      <c r="N117" s="39">
        <f t="shared" si="14"/>
        <v>-3.5228583309959267E-2</v>
      </c>
      <c r="O117" s="39">
        <f t="shared" si="15"/>
        <v>0.10792429851925812</v>
      </c>
      <c r="P117" s="39">
        <f t="shared" si="16"/>
        <v>0.19400077633117085</v>
      </c>
      <c r="Q117" s="39">
        <f t="shared" si="20"/>
        <v>0.39046417698718566</v>
      </c>
      <c r="R117" s="40">
        <f t="shared" si="21"/>
        <v>0.39046417698718566</v>
      </c>
      <c r="S117" s="40">
        <f t="shared" si="17"/>
        <v>0.49895653499425857</v>
      </c>
      <c r="T117" s="40" t="e">
        <f t="shared" si="22"/>
        <v>#N/A</v>
      </c>
      <c r="U117" s="39">
        <f t="shared" si="18"/>
        <v>-0.37543783278819826</v>
      </c>
      <c r="V117" s="139">
        <f t="shared" si="19"/>
        <v>19.530128248781189</v>
      </c>
    </row>
    <row r="118" spans="1:22">
      <c r="A118" s="151"/>
      <c r="B118" s="151"/>
      <c r="C118" s="223"/>
      <c r="D118" s="224"/>
      <c r="E118" s="151"/>
      <c r="F118" s="49"/>
      <c r="G118" s="49"/>
      <c r="H118" s="49"/>
      <c r="I118" s="49"/>
      <c r="J118" s="49"/>
      <c r="K118" s="49"/>
      <c r="L118" s="222"/>
      <c r="M118" s="159">
        <f t="shared" si="13"/>
        <v>10.699999999999978</v>
      </c>
      <c r="N118" s="39">
        <f t="shared" si="14"/>
        <v>-3.9917372563885924E-2</v>
      </c>
      <c r="O118" s="39">
        <f t="shared" si="15"/>
        <v>8.3242871837951204E-2</v>
      </c>
      <c r="P118" s="39">
        <f t="shared" si="16"/>
        <v>0.21357262724258622</v>
      </c>
      <c r="Q118" s="39">
        <f t="shared" si="20"/>
        <v>0.30116813255409264</v>
      </c>
      <c r="R118" s="40">
        <f t="shared" si="21"/>
        <v>0.30116813255409264</v>
      </c>
      <c r="S118" s="40">
        <f t="shared" si="17"/>
        <v>0.38484915320365792</v>
      </c>
      <c r="T118" s="40" t="e">
        <f t="shared" si="22"/>
        <v>#N/A</v>
      </c>
      <c r="U118" s="39">
        <f t="shared" si="18"/>
        <v>-0.42540716764354447</v>
      </c>
      <c r="V118" s="139">
        <f t="shared" si="19"/>
        <v>19.530128248781189</v>
      </c>
    </row>
    <row r="119" spans="1:22">
      <c r="A119" s="151"/>
      <c r="B119" s="151"/>
      <c r="C119" s="223"/>
      <c r="D119" s="224"/>
      <c r="E119" s="151"/>
      <c r="F119" s="49"/>
      <c r="G119" s="49"/>
      <c r="H119" s="49"/>
      <c r="I119" s="49"/>
      <c r="J119" s="49"/>
      <c r="K119" s="49"/>
      <c r="L119" s="222"/>
      <c r="M119" s="159">
        <f t="shared" si="13"/>
        <v>10.799999999999978</v>
      </c>
      <c r="N119" s="39">
        <f t="shared" si="14"/>
        <v>-4.4776764628932382E-2</v>
      </c>
      <c r="O119" s="39">
        <f t="shared" si="15"/>
        <v>5.146878965849748E-2</v>
      </c>
      <c r="P119" s="39">
        <f t="shared" si="16"/>
        <v>0.23113161517701336</v>
      </c>
      <c r="Q119" s="39">
        <f t="shared" si="20"/>
        <v>0.18621125057343518</v>
      </c>
      <c r="R119" s="40">
        <f t="shared" si="21"/>
        <v>0.18621125057343518</v>
      </c>
      <c r="S119" s="40">
        <f t="shared" si="17"/>
        <v>0.23795094617890652</v>
      </c>
      <c r="T119" s="40" t="e">
        <f t="shared" si="22"/>
        <v>#N/A</v>
      </c>
      <c r="U119" s="39">
        <f t="shared" si="18"/>
        <v>-0.47719464968666836</v>
      </c>
      <c r="V119" s="139">
        <f t="shared" si="19"/>
        <v>19.530128248781189</v>
      </c>
    </row>
    <row r="120" spans="1:22">
      <c r="A120" s="151"/>
      <c r="B120" s="151"/>
      <c r="C120" s="151"/>
      <c r="D120" s="151"/>
      <c r="E120" s="151"/>
      <c r="F120" s="49"/>
      <c r="G120" s="49"/>
      <c r="H120" s="49"/>
      <c r="I120" s="49"/>
      <c r="J120" s="49"/>
      <c r="K120" s="49"/>
      <c r="L120" s="222"/>
      <c r="M120" s="159">
        <f t="shared" si="13"/>
        <v>10.899999999999977</v>
      </c>
      <c r="N120" s="39">
        <f t="shared" si="14"/>
        <v>-4.9741025864495227E-2</v>
      </c>
      <c r="O120" s="39">
        <f t="shared" si="15"/>
        <v>1.173989892928802E-2</v>
      </c>
      <c r="P120" s="39">
        <f t="shared" si="16"/>
        <v>0.24548245502622826</v>
      </c>
      <c r="Q120" s="39">
        <f t="shared" si="20"/>
        <v>4.2474308716671565E-2</v>
      </c>
      <c r="R120" s="40">
        <f t="shared" si="21"/>
        <v>4.2474308716671565E-2</v>
      </c>
      <c r="S120" s="40">
        <f t="shared" si="17"/>
        <v>5.4276000597725478E-2</v>
      </c>
      <c r="T120" s="40" t="e">
        <f t="shared" si="22"/>
        <v>#N/A</v>
      </c>
      <c r="U120" s="39">
        <f t="shared" si="18"/>
        <v>-0.53009974278325289</v>
      </c>
      <c r="V120" s="139">
        <f t="shared" si="19"/>
        <v>19.530128248781189</v>
      </c>
    </row>
    <row r="121" spans="1:22">
      <c r="A121" s="225"/>
      <c r="B121" s="151"/>
      <c r="C121" s="151"/>
      <c r="D121" s="151"/>
      <c r="E121" s="151"/>
      <c r="F121" s="49"/>
      <c r="G121" s="49"/>
      <c r="H121" s="49"/>
      <c r="I121" s="49"/>
      <c r="J121" s="49"/>
      <c r="K121" s="49"/>
      <c r="L121" s="1"/>
      <c r="M121" s="159">
        <f t="shared" si="13"/>
        <v>10.999999999999977</v>
      </c>
      <c r="N121" s="39">
        <f t="shared" si="14"/>
        <v>-5.4727999832510393E-2</v>
      </c>
      <c r="O121" s="39">
        <f t="shared" si="15"/>
        <v>-3.682433719580995E-2</v>
      </c>
      <c r="P121" s="39">
        <f t="shared" si="16"/>
        <v>0.255203843661029</v>
      </c>
      <c r="Q121" s="39">
        <f t="shared" si="20"/>
        <v>-0.13322842690235148</v>
      </c>
      <c r="R121" s="40">
        <f t="shared" si="21"/>
        <v>-0.13322842690235148</v>
      </c>
      <c r="S121" s="40">
        <f t="shared" si="17"/>
        <v>-0.17024658897739228</v>
      </c>
      <c r="T121" s="40" t="e">
        <f t="shared" si="22"/>
        <v>#N/A</v>
      </c>
      <c r="U121" s="39">
        <f t="shared" si="18"/>
        <v>-0.58324688986689588</v>
      </c>
      <c r="V121" s="139">
        <f t="shared" si="19"/>
        <v>19.530128248781189</v>
      </c>
    </row>
    <row r="122" spans="1:22">
      <c r="A122" s="151"/>
      <c r="B122" s="49"/>
      <c r="C122" s="49"/>
      <c r="D122" s="203"/>
      <c r="E122" s="49"/>
      <c r="F122" s="49"/>
      <c r="G122" s="49"/>
      <c r="H122" s="49"/>
      <c r="I122" s="49"/>
      <c r="J122" s="49"/>
      <c r="K122" s="49"/>
      <c r="L122" s="226"/>
      <c r="M122" s="159">
        <f t="shared" si="13"/>
        <v>11.099999999999977</v>
      </c>
      <c r="N122" s="39">
        <f t="shared" si="14"/>
        <v>-5.9637292283317898E-2</v>
      </c>
      <c r="O122" s="39">
        <f t="shared" si="15"/>
        <v>-9.5108219852146875E-2</v>
      </c>
      <c r="P122" s="39">
        <f t="shared" si="16"/>
        <v>0.25863462623199079</v>
      </c>
      <c r="Q122" s="39">
        <f t="shared" si="20"/>
        <v>-0.34409630916116818</v>
      </c>
      <c r="R122" s="40">
        <f t="shared" si="21"/>
        <v>-0.34409630916116818</v>
      </c>
      <c r="S122" s="40">
        <f t="shared" si="17"/>
        <v>-0.43970513107788661</v>
      </c>
      <c r="T122" s="40" t="e">
        <f t="shared" si="22"/>
        <v>#N/A</v>
      </c>
      <c r="U122" s="39">
        <f t="shared" si="18"/>
        <v>-0.63556616998207349</v>
      </c>
      <c r="V122" s="139">
        <f t="shared" si="19"/>
        <v>19.530128248781189</v>
      </c>
    </row>
    <row r="123" spans="1:22">
      <c r="A123" s="151"/>
      <c r="B123" s="49"/>
      <c r="C123" s="49"/>
      <c r="D123" s="203"/>
      <c r="E123" s="49"/>
      <c r="F123" s="49"/>
      <c r="G123" s="49"/>
      <c r="H123" s="49"/>
      <c r="I123" s="49"/>
      <c r="J123" s="49"/>
      <c r="K123" s="49"/>
      <c r="L123" s="1"/>
      <c r="M123" s="159">
        <f t="shared" si="13"/>
        <v>11.199999999999976</v>
      </c>
      <c r="N123" s="39">
        <f t="shared" si="14"/>
        <v>-6.4348448928828683E-2</v>
      </c>
      <c r="O123" s="39">
        <f t="shared" si="15"/>
        <v>-0.16398195544912672</v>
      </c>
      <c r="P123" s="39">
        <f t="shared" si="16"/>
        <v>0.25386453917703788</v>
      </c>
      <c r="Q123" s="39">
        <f t="shared" si="20"/>
        <v>-0.59327769699394617</v>
      </c>
      <c r="R123" s="40">
        <f t="shared" si="21"/>
        <v>-0.59327769699394617</v>
      </c>
      <c r="S123" s="40">
        <f t="shared" si="17"/>
        <v>-0.75812277137830197</v>
      </c>
      <c r="T123" s="40" t="e">
        <f t="shared" si="22"/>
        <v>#N/A</v>
      </c>
      <c r="U123" s="39">
        <f t="shared" si="18"/>
        <v>-0.68577387845998594</v>
      </c>
      <c r="V123" s="139">
        <f t="shared" si="19"/>
        <v>19.530128248781189</v>
      </c>
    </row>
    <row r="124" spans="1:22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1"/>
      <c r="M124" s="159">
        <f t="shared" si="13"/>
        <v>11.299999999999976</v>
      </c>
      <c r="N124" s="39">
        <f t="shared" si="14"/>
        <v>-6.8719162921624805E-2</v>
      </c>
      <c r="O124" s="39">
        <f t="shared" si="15"/>
        <v>-0.24428023402740812</v>
      </c>
      <c r="P124" s="39">
        <f t="shared" si="16"/>
        <v>0.23873115961775962</v>
      </c>
      <c r="Q124" s="39">
        <f t="shared" si="20"/>
        <v>-0.88379245306587595</v>
      </c>
      <c r="R124" s="40">
        <f t="shared" si="21"/>
        <v>-0.88379245306587595</v>
      </c>
      <c r="S124" s="40">
        <f t="shared" si="17"/>
        <v>-1.1293584559750722</v>
      </c>
      <c r="T124" s="40" t="e">
        <f t="shared" si="22"/>
        <v>#N/A</v>
      </c>
      <c r="U124" s="39">
        <f t="shared" si="18"/>
        <v>-0.73235342367628564</v>
      </c>
      <c r="V124" s="139">
        <f t="shared" si="19"/>
        <v>19.530128248781189</v>
      </c>
    </row>
    <row r="125" spans="1:22" ht="27" customHeight="1">
      <c r="A125" s="356"/>
      <c r="B125" s="357"/>
      <c r="C125" s="357"/>
      <c r="D125" s="224"/>
      <c r="E125" s="49"/>
      <c r="F125" s="49"/>
      <c r="G125" s="49"/>
      <c r="H125" s="49"/>
      <c r="I125" s="49"/>
      <c r="J125" s="49"/>
      <c r="K125" s="49"/>
      <c r="L125" s="1"/>
      <c r="M125" s="159">
        <f t="shared" si="13"/>
        <v>11.399999999999975</v>
      </c>
      <c r="N125" s="39">
        <f t="shared" si="14"/>
        <v>-7.2583556311367772E-2</v>
      </c>
      <c r="O125" s="39">
        <f t="shared" si="15"/>
        <v>-0.33677692725590153</v>
      </c>
      <c r="P125" s="39">
        <f t="shared" si="16"/>
        <v>0.21082493397475402</v>
      </c>
      <c r="Q125" s="39">
        <f t="shared" si="20"/>
        <v>-1.2184404025177336</v>
      </c>
      <c r="R125" s="40">
        <f t="shared" si="21"/>
        <v>-1.2184404025177336</v>
      </c>
      <c r="S125" s="40">
        <f t="shared" si="17"/>
        <v>-1.5569899549510011</v>
      </c>
      <c r="T125" s="40" t="e">
        <f t="shared" si="22"/>
        <v>#N/A</v>
      </c>
      <c r="U125" s="39">
        <f t="shared" si="18"/>
        <v>-0.77353701219930127</v>
      </c>
      <c r="V125" s="139">
        <f t="shared" si="19"/>
        <v>19.530128248781189</v>
      </c>
    </row>
    <row r="126" spans="1:22">
      <c r="A126" s="151"/>
      <c r="B126" s="49"/>
      <c r="C126" s="215"/>
      <c r="D126" s="224"/>
      <c r="E126" s="49"/>
      <c r="F126" s="49"/>
      <c r="G126" s="49"/>
      <c r="H126" s="49"/>
      <c r="I126" s="49"/>
      <c r="J126" s="49"/>
      <c r="K126" s="49"/>
      <c r="L126" s="1"/>
      <c r="M126" s="159">
        <f t="shared" si="13"/>
        <v>11.499999999999975</v>
      </c>
      <c r="N126" s="39">
        <f t="shared" si="14"/>
        <v>-7.5750587757117988E-2</v>
      </c>
      <c r="O126" s="39">
        <f t="shared" si="15"/>
        <v>-0.44215560159438871</v>
      </c>
      <c r="P126" s="39">
        <f t="shared" si="16"/>
        <v>0.16750440446473813</v>
      </c>
      <c r="Q126" s="39">
        <f t="shared" si="20"/>
        <v>-1.5996946512098</v>
      </c>
      <c r="R126" s="40">
        <f t="shared" si="21"/>
        <v>-1.5996946512098</v>
      </c>
      <c r="S126" s="40">
        <f t="shared" si="17"/>
        <v>-2.0441775385778489</v>
      </c>
      <c r="T126" s="40" t="e">
        <f t="shared" si="22"/>
        <v>#N/A</v>
      </c>
      <c r="U126" s="39">
        <f t="shared" si="18"/>
        <v>-0.80728867947195015</v>
      </c>
      <c r="V126" s="139">
        <f t="shared" si="19"/>
        <v>19.530128248781189</v>
      </c>
    </row>
    <row r="127" spans="1:22">
      <c r="A127" s="215"/>
      <c r="B127" s="215"/>
      <c r="C127" s="215"/>
      <c r="D127" s="49"/>
      <c r="E127" s="49"/>
      <c r="F127" s="49"/>
      <c r="G127" s="49"/>
      <c r="H127" s="49"/>
      <c r="I127" s="49"/>
      <c r="J127" s="49"/>
      <c r="K127" s="49"/>
      <c r="L127" s="1"/>
      <c r="M127" s="159">
        <f t="shared" ref="M127:M190" si="23">MIN(M126+Dx,LSchiene)</f>
        <v>11.599999999999975</v>
      </c>
      <c r="N127" s="39">
        <f t="shared" si="14"/>
        <v>-7.8002647408264666E-2</v>
      </c>
      <c r="O127" s="39">
        <f t="shared" si="15"/>
        <v>-0.56097556470095633</v>
      </c>
      <c r="P127" s="39">
        <f t="shared" si="16"/>
        <v>0.105923992699772</v>
      </c>
      <c r="Q127" s="39">
        <f t="shared" si="20"/>
        <v>-2.0295787434911587</v>
      </c>
      <c r="R127" s="40">
        <f t="shared" si="21"/>
        <v>-2.0295787434911587</v>
      </c>
      <c r="S127" s="40">
        <f t="shared" si="17"/>
        <v>-2.5935070027783462</v>
      </c>
      <c r="T127" s="40" t="e">
        <f t="shared" si="22"/>
        <v>#N/A</v>
      </c>
      <c r="U127" s="39">
        <f t="shared" si="18"/>
        <v>-0.8312893151857691</v>
      </c>
      <c r="V127" s="139">
        <f t="shared" si="19"/>
        <v>19.530128248781189</v>
      </c>
    </row>
    <row r="128" spans="1:22">
      <c r="A128" s="215"/>
      <c r="B128" s="215"/>
      <c r="C128" s="215"/>
      <c r="D128" s="49"/>
      <c r="E128" s="49"/>
      <c r="F128" s="49"/>
      <c r="G128" s="49"/>
      <c r="H128" s="49"/>
      <c r="I128" s="49"/>
      <c r="J128" s="49"/>
      <c r="K128" s="49"/>
      <c r="L128" s="1"/>
      <c r="M128" s="159">
        <f t="shared" si="23"/>
        <v>11.699999999999974</v>
      </c>
      <c r="N128" s="39">
        <f t="shared" si="14"/>
        <v>-7.9094409080919803E-2</v>
      </c>
      <c r="O128" s="39">
        <f t="shared" si="15"/>
        <v>-0.69363319654477096</v>
      </c>
      <c r="P128" s="39">
        <f t="shared" si="16"/>
        <v>2.3076924856986761E-2</v>
      </c>
      <c r="Q128" s="39">
        <f t="shared" si="20"/>
        <v>-2.5095267602922249</v>
      </c>
      <c r="R128" s="40">
        <f t="shared" si="21"/>
        <v>-2.5095267602922249</v>
      </c>
      <c r="S128" s="40">
        <f t="shared" si="17"/>
        <v>-3.2068108947978318</v>
      </c>
      <c r="T128" s="40" t="e">
        <f t="shared" si="22"/>
        <v>#N/A</v>
      </c>
      <c r="U128" s="39">
        <f t="shared" si="18"/>
        <v>-0.8429244307025201</v>
      </c>
      <c r="V128" s="139">
        <f t="shared" si="19"/>
        <v>19.530128248781189</v>
      </c>
    </row>
    <row r="129" spans="1:22">
      <c r="A129" s="215"/>
      <c r="B129" s="215"/>
      <c r="C129" s="215"/>
      <c r="D129" s="49"/>
      <c r="E129" s="49"/>
      <c r="F129" s="49"/>
      <c r="G129" s="49"/>
      <c r="H129" s="49"/>
      <c r="I129" s="49"/>
      <c r="J129" s="49"/>
      <c r="K129" s="49"/>
      <c r="L129" s="1"/>
      <c r="M129" s="159">
        <f t="shared" si="23"/>
        <v>11.799999999999974</v>
      </c>
      <c r="N129" s="39">
        <f t="shared" si="14"/>
        <v>-7.8752019581648874E-2</v>
      </c>
      <c r="O129" s="39">
        <f t="shared" si="15"/>
        <v>-0.84031836252951431</v>
      </c>
      <c r="P129" s="39">
        <f t="shared" si="16"/>
        <v>-8.4143919518841356E-2</v>
      </c>
      <c r="Q129" s="39">
        <f t="shared" si="20"/>
        <v>-3.0402256242022951</v>
      </c>
      <c r="R129" s="40">
        <f t="shared" si="21"/>
        <v>-3.0402256242022951</v>
      </c>
      <c r="S129" s="40">
        <f t="shared" si="17"/>
        <v>-3.8849670019857339</v>
      </c>
      <c r="T129" s="40" t="e">
        <f t="shared" si="22"/>
        <v>#N/A</v>
      </c>
      <c r="U129" s="39">
        <f t="shared" si="18"/>
        <v>-0.83927551952023671</v>
      </c>
      <c r="V129" s="139">
        <f t="shared" si="19"/>
        <v>19.530128248781189</v>
      </c>
    </row>
    <row r="130" spans="1:22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1"/>
      <c r="M130" s="159">
        <f t="shared" si="23"/>
        <v>11.899999999999974</v>
      </c>
      <c r="N130" s="39">
        <f t="shared" si="14"/>
        <v>-7.6672715171379871E-2</v>
      </c>
      <c r="O130" s="39">
        <f t="shared" si="15"/>
        <v>-1.0009657659670728</v>
      </c>
      <c r="P130" s="39">
        <f t="shared" si="16"/>
        <v>-0.21886429795085088</v>
      </c>
      <c r="Q130" s="39">
        <f t="shared" si="20"/>
        <v>-3.6214390953946194</v>
      </c>
      <c r="R130" s="40">
        <f t="shared" si="21"/>
        <v>-3.6214390953946194</v>
      </c>
      <c r="S130" s="40">
        <f t="shared" si="17"/>
        <v>-4.6276734441381082</v>
      </c>
      <c r="T130" s="40" t="e">
        <f t="shared" si="22"/>
        <v>#N/A</v>
      </c>
      <c r="U130" s="39">
        <f t="shared" si="18"/>
        <v>-0.81711596985484769</v>
      </c>
      <c r="V130" s="139">
        <f t="shared" si="19"/>
        <v>19.530128248781189</v>
      </c>
    </row>
    <row r="131" spans="1:22">
      <c r="A131" s="227"/>
      <c r="B131" s="209"/>
      <c r="C131" s="210"/>
      <c r="D131" s="49"/>
      <c r="E131" s="49"/>
      <c r="F131" s="49"/>
      <c r="G131" s="49"/>
      <c r="H131" s="49"/>
      <c r="I131" s="49"/>
      <c r="J131" s="49"/>
      <c r="K131" s="49"/>
      <c r="L131" s="1"/>
      <c r="M131" s="159">
        <f t="shared" si="23"/>
        <v>11.999999999999973</v>
      </c>
      <c r="N131" s="39">
        <f t="shared" si="14"/>
        <v>-7.2524965595015103E-2</v>
      </c>
      <c r="O131" s="39">
        <f t="shared" si="15"/>
        <v>-1.1752011732641929</v>
      </c>
      <c r="P131" s="39">
        <f t="shared" si="16"/>
        <v>-0.38412300262844173</v>
      </c>
      <c r="Q131" s="39">
        <f t="shared" si="20"/>
        <v>-4.2518132173089471</v>
      </c>
      <c r="R131" s="40">
        <f t="shared" si="21"/>
        <v>-4.2518132173089471</v>
      </c>
      <c r="S131" s="40">
        <f t="shared" si="17"/>
        <v>-5.4332000613231299</v>
      </c>
      <c r="T131" s="40" t="e">
        <f t="shared" si="22"/>
        <v>#N/A</v>
      </c>
      <c r="U131" s="39">
        <f t="shared" si="18"/>
        <v>-0.77291259959163527</v>
      </c>
      <c r="V131" s="139">
        <f t="shared" si="19"/>
        <v>19.530128248781189</v>
      </c>
    </row>
    <row r="132" spans="1:22">
      <c r="A132" s="227"/>
      <c r="B132" s="209"/>
      <c r="C132" s="210"/>
      <c r="D132" s="49"/>
      <c r="E132" s="49"/>
      <c r="F132" s="49"/>
      <c r="G132" s="49"/>
      <c r="H132" s="49"/>
      <c r="I132" s="49"/>
      <c r="J132" s="49"/>
      <c r="K132" s="49"/>
      <c r="L132" s="1"/>
      <c r="M132" s="159">
        <f t="shared" si="23"/>
        <v>12.099999999999973</v>
      </c>
      <c r="N132" s="39">
        <f t="shared" si="14"/>
        <v>-6.5949256669431175E-2</v>
      </c>
      <c r="O132" s="39">
        <f t="shared" si="15"/>
        <v>-1.3622825390475606</v>
      </c>
      <c r="P132" s="39">
        <f t="shared" si="16"/>
        <v>-0.5827393187291422</v>
      </c>
      <c r="Q132" s="39">
        <f t="shared" si="20"/>
        <v>-4.9286633105917534</v>
      </c>
      <c r="R132" s="40">
        <f t="shared" si="21"/>
        <v>-4.9286633105917534</v>
      </c>
      <c r="S132" s="40">
        <f t="shared" si="17"/>
        <v>-6.2981162230585328</v>
      </c>
      <c r="T132" s="40" t="e">
        <f t="shared" si="22"/>
        <v>#N/A</v>
      </c>
      <c r="U132" s="39">
        <f t="shared" si="18"/>
        <v>-0.70283399647706402</v>
      </c>
      <c r="V132" s="139">
        <f t="shared" si="19"/>
        <v>19.530128248781189</v>
      </c>
    </row>
    <row r="133" spans="1:22">
      <c r="A133" s="227"/>
      <c r="B133" s="209"/>
      <c r="C133" s="210"/>
      <c r="D133" s="49"/>
      <c r="E133" s="49"/>
      <c r="F133" s="49"/>
      <c r="G133" s="49"/>
      <c r="H133" s="49"/>
      <c r="I133" s="49"/>
      <c r="J133" s="49"/>
      <c r="K133" s="49"/>
      <c r="L133" s="1"/>
      <c r="M133" s="159">
        <f t="shared" si="23"/>
        <v>12.199999999999973</v>
      </c>
      <c r="N133" s="39">
        <f t="shared" si="14"/>
        <v>-5.655963293012832E-2</v>
      </c>
      <c r="O133" s="39">
        <f t="shared" si="15"/>
        <v>-1.5610361720291026</v>
      </c>
      <c r="P133" s="39">
        <f t="shared" si="16"/>
        <v>-0.81715058666390727</v>
      </c>
      <c r="Q133" s="39">
        <f t="shared" si="20"/>
        <v>-5.6477430247073181</v>
      </c>
      <c r="R133" s="40">
        <f t="shared" si="21"/>
        <v>-5.6477430247073181</v>
      </c>
      <c r="S133" s="40">
        <f t="shared" si="17"/>
        <v>-7.216995709797053</v>
      </c>
      <c r="T133" s="40" t="e">
        <f t="shared" si="22"/>
        <v>#N/A</v>
      </c>
      <c r="U133" s="39">
        <f t="shared" si="18"/>
        <v>-0.60276695840278849</v>
      </c>
      <c r="V133" s="139">
        <f t="shared" si="19"/>
        <v>19.530128248781189</v>
      </c>
    </row>
    <row r="134" spans="1:22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1"/>
      <c r="M134" s="159">
        <f t="shared" si="23"/>
        <v>12.299999999999972</v>
      </c>
      <c r="N134" s="39">
        <f t="shared" si="14"/>
        <v>-4.3946132050023561E-2</v>
      </c>
      <c r="O134" s="39">
        <f t="shared" si="15"/>
        <v>-1.7697882175662583</v>
      </c>
      <c r="P134" s="39">
        <f t="shared" si="16"/>
        <v>-1.0892171314778236</v>
      </c>
      <c r="Q134" s="39">
        <f t="shared" si="20"/>
        <v>-6.4029964456087489</v>
      </c>
      <c r="R134" s="40">
        <f t="shared" si="21"/>
        <v>-6.4029964456087489</v>
      </c>
      <c r="S134" s="40">
        <f t="shared" si="17"/>
        <v>-8.1820999425162206</v>
      </c>
      <c r="T134" s="40" t="e">
        <f t="shared" si="22"/>
        <v>#N/A</v>
      </c>
      <c r="U134" s="39">
        <f t="shared" si="18"/>
        <v>-0.4683424374780486</v>
      </c>
      <c r="V134" s="139">
        <f t="shared" si="19"/>
        <v>19.530128248781189</v>
      </c>
    </row>
    <row r="135" spans="1:22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1"/>
      <c r="M135" s="159">
        <f t="shared" si="23"/>
        <v>12.399999999999972</v>
      </c>
      <c r="N135" s="39">
        <f t="shared" si="14"/>
        <v>-2.7678252383484484E-2</v>
      </c>
      <c r="O135" s="39">
        <f t="shared" si="15"/>
        <v>-1.9862918914113314</v>
      </c>
      <c r="P135" s="39">
        <f t="shared" si="16"/>
        <v>-1.3999922023295812</v>
      </c>
      <c r="Q135" s="39">
        <f t="shared" si="20"/>
        <v>-7.1862948314447586</v>
      </c>
      <c r="R135" s="40">
        <f t="shared" si="21"/>
        <v>-7.1862948314447586</v>
      </c>
      <c r="S135" s="40">
        <f t="shared" si="17"/>
        <v>-9.1830415691693545</v>
      </c>
      <c r="T135" s="40" t="e">
        <f t="shared" si="22"/>
        <v>#N/A</v>
      </c>
      <c r="U135" s="39">
        <f t="shared" si="18"/>
        <v>-0.29497249431777428</v>
      </c>
      <c r="V135" s="139">
        <f t="shared" si="19"/>
        <v>19.530128248781189</v>
      </c>
    </row>
    <row r="136" spans="1:22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1"/>
      <c r="M136" s="159">
        <f t="shared" si="23"/>
        <v>12.499999999999972</v>
      </c>
      <c r="N136" s="39">
        <f t="shared" si="14"/>
        <v>-7.3096037271534256E-3</v>
      </c>
      <c r="O136" s="39">
        <f t="shared" si="15"/>
        <v>-2.2076510827772924</v>
      </c>
      <c r="P136" s="39">
        <f t="shared" si="16"/>
        <v>-1.7494551362466362</v>
      </c>
      <c r="Q136" s="39">
        <f t="shared" si="20"/>
        <v>-7.987160212653011</v>
      </c>
      <c r="R136" s="40">
        <f t="shared" si="21"/>
        <v>-7.987160212653011</v>
      </c>
      <c r="S136" s="40">
        <f t="shared" si="17"/>
        <v>-10.206431265729506</v>
      </c>
      <c r="T136" s="40" t="e">
        <f t="shared" si="22"/>
        <v>#N/A</v>
      </c>
      <c r="U136" s="39">
        <f t="shared" si="18"/>
        <v>-7.7899862101102224E-2</v>
      </c>
      <c r="V136" s="139">
        <f t="shared" si="19"/>
        <v>19.530128248781189</v>
      </c>
    </row>
    <row r="137" spans="1:22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1"/>
      <c r="M137" s="159">
        <f t="shared" si="23"/>
        <v>12.599999999999971</v>
      </c>
      <c r="N137" s="39">
        <f t="shared" ref="N137:N200" si="24">(1/($C$14*$C$15))*(($C$11*10^3/2)/(8*(1/$I$24)^3)*EXP(-(1/$I$24)*ABS(M137-$D$33)*10^3)*(COS(ABS(M137-$D$33)*10^3/$I$24)+SIN(ABS(M137-$D$33)*10^3/$I$24))+($C$10*10^3/2)/(8*(1/$I$24)^3)*EXP(-(1/$I$24)*ABS(M137-$D$32)*10^3)*(COS(ABS(M137-$D$32)*10^3/$I$24)+SIN(ABS(M137-$D$32)*10^3/$I$24)))</f>
        <v>1.7616101152917136E-2</v>
      </c>
      <c r="O137" s="39">
        <f t="shared" ref="O137:O200" si="25">(($C$11*10^3/2)/(4*(1/$I$24))*EXP(-(1/$I$24)*ABS(M137-$D$33)*10^3)*(COS(ABS(M137-$D$33)*10^3/$I$24)-SIN(ABS(M137-$D$33)*10^3/$I$24))+($C$10*10^3/2)/(4*(1/$I$24))*EXP(-(1/$I$24)*ABS(M137-$D$32)*10^3)*(COS(ABS(M137-$D$32)*10^3/$I$24)-SIN(ABS(M137-$D$32)*10^3/$I$24)))*10^-6</f>
        <v>-2.4302411551209149</v>
      </c>
      <c r="P137" s="39">
        <f t="shared" ref="P137:P200" si="26">((Achslast_2_2*10^3*kd_2*kq_2/2)/(4*(1/Lelastisch_2))*EXP(-(1/Lelastisch_2)*ABS(M137-$D$33)*10^3)*(COS(ABS(M137-$D$33)*10^3/Lelastisch_2)-SIN(ABS(M137-$D$33)*10^3/Lelastisch_2))+(Achslast_1_2*10^3*kd_2*kq_2/2)/(4*(1/Lelastisch_2))*EXP(-(1/Lelastisch_2)*ABS(M137-$D$32)*10^3)*(COS(ABS(M137-$D$32)*10^3/Lelastisch_2)-SIN(ABS(M137-$D$32)*10^3/Lelastisch_2)))*10^-6</f>
        <v>-2.1362067574105286</v>
      </c>
      <c r="Q137" s="39">
        <f t="shared" si="20"/>
        <v>-8.7924788535488965</v>
      </c>
      <c r="R137" s="40">
        <f t="shared" si="21"/>
        <v>-8.7924788535488965</v>
      </c>
      <c r="S137" s="40">
        <f t="shared" ref="S137:S200" si="27">(O137/WSchiene_2)*10^6*(1+3*$D$126*$D$123)</f>
        <v>-11.235511581696324</v>
      </c>
      <c r="T137" s="40" t="e">
        <f t="shared" si="22"/>
        <v>#N/A</v>
      </c>
      <c r="U137" s="39">
        <f t="shared" ref="U137:U200" si="28">$I$22*N137</f>
        <v>0.18773820056394816</v>
      </c>
      <c r="V137" s="139">
        <f t="shared" ref="V137:V200" si="29">MAX($U$9:$U$331)</f>
        <v>19.530128248781189</v>
      </c>
    </row>
    <row r="138" spans="1:22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1"/>
      <c r="M138" s="159">
        <f t="shared" si="23"/>
        <v>12.699999999999971</v>
      </c>
      <c r="N138" s="39">
        <f t="shared" si="24"/>
        <v>4.7557550935041E-2</v>
      </c>
      <c r="O138" s="39">
        <f t="shared" si="25"/>
        <v>-2.64962801127629</v>
      </c>
      <c r="P138" s="39">
        <f t="shared" si="26"/>
        <v>-2.5571270819836776</v>
      </c>
      <c r="Q138" s="39">
        <f t="shared" ref="Q138:Q201" si="30">O138/$C$16*10^6</f>
        <v>-9.5862084344294143</v>
      </c>
      <c r="R138" s="40">
        <f t="shared" ref="R138:R201" si="31">(O138/$C$16)*10^6*(1+3*$D$126*$D$122)</f>
        <v>-9.5862084344294143</v>
      </c>
      <c r="S138" s="40">
        <f t="shared" si="27"/>
        <v>-12.249782761332826</v>
      </c>
      <c r="T138" s="40" t="e">
        <f t="shared" si="22"/>
        <v>#N/A</v>
      </c>
      <c r="U138" s="39">
        <f t="shared" si="28"/>
        <v>0.50683002772690233</v>
      </c>
      <c r="V138" s="139">
        <f t="shared" si="29"/>
        <v>19.530128248781189</v>
      </c>
    </row>
    <row r="139" spans="1:22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1"/>
      <c r="M139" s="159">
        <f t="shared" si="23"/>
        <v>12.799999999999971</v>
      </c>
      <c r="N139" s="39">
        <f t="shared" si="24"/>
        <v>8.2966669267190998E-2</v>
      </c>
      <c r="O139" s="39">
        <f t="shared" si="25"/>
        <v>-2.8604867567753409</v>
      </c>
      <c r="P139" s="39">
        <f t="shared" si="26"/>
        <v>-3.0069967557866608</v>
      </c>
      <c r="Q139" s="39">
        <f t="shared" si="30"/>
        <v>-10.349083779939729</v>
      </c>
      <c r="R139" s="40">
        <f t="shared" si="31"/>
        <v>-10.349083779939729</v>
      </c>
      <c r="S139" s="40">
        <f t="shared" si="27"/>
        <v>-13.224626707236899</v>
      </c>
      <c r="T139" s="40" t="e">
        <f t="shared" si="22"/>
        <v>#N/A</v>
      </c>
      <c r="U139" s="39">
        <f t="shared" si="28"/>
        <v>0.88419185719919358</v>
      </c>
      <c r="V139" s="139">
        <f t="shared" si="29"/>
        <v>19.530128248781189</v>
      </c>
    </row>
    <row r="140" spans="1:22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1"/>
      <c r="M140" s="159">
        <f t="shared" si="23"/>
        <v>12.89999999999997</v>
      </c>
      <c r="N140" s="39">
        <f t="shared" si="24"/>
        <v>0.12427760979607554</v>
      </c>
      <c r="O140" s="39">
        <f t="shared" si="25"/>
        <v>-3.0565215919869599</v>
      </c>
      <c r="P140" s="39">
        <f t="shared" si="26"/>
        <v>-3.4780853446978552</v>
      </c>
      <c r="Q140" s="39">
        <f t="shared" si="30"/>
        <v>-11.058327033237916</v>
      </c>
      <c r="R140" s="40">
        <f t="shared" si="31"/>
        <v>-11.058327033237916</v>
      </c>
      <c r="S140" s="40">
        <f t="shared" si="27"/>
        <v>-14.130936624997503</v>
      </c>
      <c r="T140" s="40" t="e">
        <f t="shared" si="22"/>
        <v>#N/A</v>
      </c>
      <c r="U140" s="39">
        <f t="shared" si="28"/>
        <v>1.3244505484484073</v>
      </c>
      <c r="V140" s="139">
        <f t="shared" si="29"/>
        <v>19.530128248781189</v>
      </c>
    </row>
    <row r="141" spans="1:22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1"/>
      <c r="M141" s="159">
        <f t="shared" si="23"/>
        <v>12.99999999999997</v>
      </c>
      <c r="N141" s="39">
        <f t="shared" si="24"/>
        <v>0.17189374768485643</v>
      </c>
      <c r="O141" s="39">
        <f t="shared" si="25"/>
        <v>-3.2303888902219904</v>
      </c>
      <c r="P141" s="39">
        <f t="shared" si="26"/>
        <v>-3.9597116607458576</v>
      </c>
      <c r="Q141" s="39">
        <f t="shared" si="30"/>
        <v>-11.687369356808937</v>
      </c>
      <c r="R141" s="40">
        <f t="shared" si="31"/>
        <v>-11.687369356808937</v>
      </c>
      <c r="S141" s="40">
        <f t="shared" si="27"/>
        <v>-14.934761397235278</v>
      </c>
      <c r="T141" s="40" t="e">
        <f t="shared" si="22"/>
        <v>#N/A</v>
      </c>
      <c r="U141" s="39">
        <f t="shared" si="28"/>
        <v>1.8319049486840828</v>
      </c>
      <c r="V141" s="139">
        <f t="shared" si="29"/>
        <v>19.530128248781189</v>
      </c>
    </row>
    <row r="142" spans="1:22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1"/>
      <c r="M142" s="159">
        <f t="shared" si="23"/>
        <v>13.099999999999969</v>
      </c>
      <c r="N142" s="39">
        <f t="shared" si="24"/>
        <v>0.22617250924175242</v>
      </c>
      <c r="O142" s="39">
        <f t="shared" si="25"/>
        <v>-3.373625774717127</v>
      </c>
      <c r="P142" s="39">
        <f t="shared" si="26"/>
        <v>-4.4377837726513265</v>
      </c>
      <c r="Q142" s="39">
        <f t="shared" si="30"/>
        <v>-12.205592527920141</v>
      </c>
      <c r="R142" s="40">
        <f t="shared" si="31"/>
        <v>-12.205592527920141</v>
      </c>
      <c r="S142" s="40">
        <f t="shared" si="27"/>
        <v>-15.596975380106921</v>
      </c>
      <c r="T142" s="40" t="e">
        <f t="shared" si="22"/>
        <v>#N/A</v>
      </c>
      <c r="U142" s="39">
        <f t="shared" si="28"/>
        <v>2.4103642192726724</v>
      </c>
      <c r="V142" s="139">
        <f t="shared" si="29"/>
        <v>19.530128248781189</v>
      </c>
    </row>
    <row r="143" spans="1:22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1"/>
      <c r="M143" s="159">
        <f t="shared" si="23"/>
        <v>13.199999999999969</v>
      </c>
      <c r="N143" s="39">
        <f t="shared" si="24"/>
        <v>0.28740789269811573</v>
      </c>
      <c r="O143" s="39">
        <f t="shared" si="25"/>
        <v>-3.4765868912368152</v>
      </c>
      <c r="P143" s="39">
        <f t="shared" si="26"/>
        <v>-4.8943292450550366</v>
      </c>
      <c r="Q143" s="39">
        <f t="shared" si="30"/>
        <v>-12.57810018537198</v>
      </c>
      <c r="R143" s="40">
        <f t="shared" si="31"/>
        <v>-12.57810018537198</v>
      </c>
      <c r="S143" s="40">
        <f t="shared" si="27"/>
        <v>-16.07298608986045</v>
      </c>
      <c r="T143" s="40" t="e">
        <f t="shared" si="22"/>
        <v>#N/A</v>
      </c>
      <c r="U143" s="39">
        <f t="shared" si="28"/>
        <v>3.0629615562854253</v>
      </c>
      <c r="V143" s="139">
        <f t="shared" si="29"/>
        <v>19.530128248781189</v>
      </c>
    </row>
    <row r="144" spans="1:22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1"/>
      <c r="M144" s="159">
        <f t="shared" si="23"/>
        <v>13.299999999999969</v>
      </c>
      <c r="N144" s="39">
        <f t="shared" si="24"/>
        <v>0.35581055016175595</v>
      </c>
      <c r="O144" s="39">
        <f t="shared" si="25"/>
        <v>-3.5283924828793127</v>
      </c>
      <c r="P144" s="39">
        <f t="shared" si="26"/>
        <v>-5.3070294952822605</v>
      </c>
      <c r="Q144" s="39">
        <f t="shared" si="30"/>
        <v>-12.765529967001855</v>
      </c>
      <c r="R144" s="40">
        <f t="shared" si="31"/>
        <v>-12.765529967001855</v>
      </c>
      <c r="S144" s="40">
        <f t="shared" si="27"/>
        <v>-16.312494141836861</v>
      </c>
      <c r="T144" s="40" t="e">
        <f t="shared" si="22"/>
        <v>#N/A</v>
      </c>
      <c r="U144" s="39">
        <f t="shared" si="28"/>
        <v>3.7919419200187137</v>
      </c>
      <c r="V144" s="139">
        <f t="shared" si="29"/>
        <v>19.530128248781189</v>
      </c>
    </row>
    <row r="145" spans="1:22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1"/>
      <c r="M145" s="159">
        <f t="shared" si="23"/>
        <v>13.399999999999968</v>
      </c>
      <c r="N145" s="39">
        <f t="shared" si="24"/>
        <v>0.43148532417478475</v>
      </c>
      <c r="O145" s="39">
        <f t="shared" si="25"/>
        <v>-3.5168913065110359</v>
      </c>
      <c r="P145" s="39">
        <f t="shared" si="26"/>
        <v>-5.6487759592708047</v>
      </c>
      <c r="Q145" s="39">
        <f t="shared" si="30"/>
        <v>-12.723919343382908</v>
      </c>
      <c r="R145" s="40">
        <f t="shared" si="31"/>
        <v>-12.723919343382908</v>
      </c>
      <c r="S145" s="40">
        <f t="shared" si="27"/>
        <v>-16.259321805413943</v>
      </c>
      <c r="T145" s="40" t="e">
        <f t="shared" si="22"/>
        <v>#N/A</v>
      </c>
      <c r="U145" s="39">
        <f t="shared" si="28"/>
        <v>4.5984226377419333</v>
      </c>
      <c r="V145" s="139">
        <f t="shared" si="29"/>
        <v>19.530128248781189</v>
      </c>
    </row>
    <row r="146" spans="1:22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1"/>
      <c r="M146" s="159">
        <f t="shared" si="23"/>
        <v>13.499999999999968</v>
      </c>
      <c r="N146" s="39">
        <f t="shared" si="24"/>
        <v>0.51440616301775877</v>
      </c>
      <c r="O146" s="39">
        <f t="shared" si="25"/>
        <v>-3.4286423819123413</v>
      </c>
      <c r="P146" s="39">
        <f t="shared" si="26"/>
        <v>-5.887270014574395</v>
      </c>
      <c r="Q146" s="39">
        <f t="shared" si="30"/>
        <v>-12.404639587237126</v>
      </c>
      <c r="R146" s="40">
        <f t="shared" si="31"/>
        <v>-12.404639587237126</v>
      </c>
      <c r="S146" s="40">
        <f t="shared" si="27"/>
        <v>-15.851328626501809</v>
      </c>
      <c r="T146" s="40" t="e">
        <f t="shared" si="22"/>
        <v>#N/A</v>
      </c>
      <c r="U146" s="39">
        <f t="shared" si="28"/>
        <v>5.4821260712372162</v>
      </c>
      <c r="V146" s="139">
        <f t="shared" si="29"/>
        <v>19.530128248781189</v>
      </c>
    </row>
    <row r="147" spans="1:22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1"/>
      <c r="M147" s="159">
        <f t="shared" si="23"/>
        <v>13.599999999999968</v>
      </c>
      <c r="N147" s="39">
        <f t="shared" si="24"/>
        <v>0.60438837785475941</v>
      </c>
      <c r="O147" s="39">
        <f t="shared" si="25"/>
        <v>-3.2489200297288012</v>
      </c>
      <c r="P147" s="39">
        <f t="shared" si="26"/>
        <v>-5.9846932960729919</v>
      </c>
      <c r="Q147" s="39">
        <f t="shared" si="30"/>
        <v>-11.754414000465996</v>
      </c>
      <c r="R147" s="40">
        <f t="shared" si="31"/>
        <v>-11.754414000465996</v>
      </c>
      <c r="S147" s="40">
        <f t="shared" si="27"/>
        <v>-15.020434719042077</v>
      </c>
      <c r="T147" s="40" t="e">
        <f t="shared" ref="T147:T210" si="32">IF(N147=MAX($N$9:$N$331),N147,#N/A)</f>
        <v>#N/A</v>
      </c>
      <c r="U147" s="39">
        <f t="shared" si="28"/>
        <v>6.4410839558233688</v>
      </c>
      <c r="V147" s="139">
        <f t="shared" si="29"/>
        <v>19.530128248781189</v>
      </c>
    </row>
    <row r="148" spans="1:22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1"/>
      <c r="M148" s="159">
        <f t="shared" si="23"/>
        <v>13.699999999999967</v>
      </c>
      <c r="N148" s="39">
        <f t="shared" si="24"/>
        <v>0.70105825296590174</v>
      </c>
      <c r="O148" s="39">
        <f t="shared" si="25"/>
        <v>-2.961747125751955</v>
      </c>
      <c r="P148" s="39">
        <f t="shared" si="26"/>
        <v>-5.8974801155232406</v>
      </c>
      <c r="Q148" s="39">
        <f t="shared" si="30"/>
        <v>-10.715438226309532</v>
      </c>
      <c r="R148" s="40">
        <f t="shared" si="31"/>
        <v>-10.715438226309532</v>
      </c>
      <c r="S148" s="40">
        <f t="shared" si="27"/>
        <v>-13.69277450648153</v>
      </c>
      <c r="T148" s="40" t="e">
        <f t="shared" si="32"/>
        <v>#N/A</v>
      </c>
      <c r="U148" s="39">
        <f t="shared" si="28"/>
        <v>7.4713135307200895</v>
      </c>
      <c r="V148" s="139">
        <f t="shared" si="29"/>
        <v>19.530128248781189</v>
      </c>
    </row>
    <row r="149" spans="1:22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1"/>
      <c r="M149" s="159">
        <f t="shared" si="23"/>
        <v>13.799999999999967</v>
      </c>
      <c r="N149" s="39">
        <f t="shared" si="24"/>
        <v>0.80382007863620897</v>
      </c>
      <c r="O149" s="39">
        <f t="shared" si="25"/>
        <v>-2.5499619683353543</v>
      </c>
      <c r="P149" s="39">
        <f t="shared" si="26"/>
        <v>-5.5762290895414761</v>
      </c>
      <c r="Q149" s="39">
        <f t="shared" si="30"/>
        <v>-9.225622171980298</v>
      </c>
      <c r="R149" s="40">
        <f t="shared" si="31"/>
        <v>-9.225622171980298</v>
      </c>
      <c r="S149" s="40">
        <f t="shared" si="27"/>
        <v>-11.789005863778799</v>
      </c>
      <c r="T149" s="40" t="e">
        <f t="shared" si="32"/>
        <v>#N/A</v>
      </c>
      <c r="U149" s="39">
        <f t="shared" si="28"/>
        <v>8.5664662021620845</v>
      </c>
      <c r="V149" s="139">
        <f t="shared" si="29"/>
        <v>19.530128248781189</v>
      </c>
    </row>
    <row r="150" spans="1:2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59">
        <f t="shared" si="23"/>
        <v>13.899999999999967</v>
      </c>
      <c r="N150" s="39">
        <f t="shared" si="24"/>
        <v>0.91182074572972627</v>
      </c>
      <c r="O150" s="39">
        <f t="shared" si="25"/>
        <v>-1.9953246125116932</v>
      </c>
      <c r="P150" s="39">
        <f t="shared" si="26"/>
        <v>-4.9657966910709863</v>
      </c>
      <c r="Q150" s="39">
        <f t="shared" si="30"/>
        <v>-7.2189747196515679</v>
      </c>
      <c r="R150" s="40">
        <f t="shared" si="31"/>
        <v>-7.2189747196515679</v>
      </c>
      <c r="S150" s="40">
        <f t="shared" si="27"/>
        <v>-9.2248017221992278</v>
      </c>
      <c r="T150" s="40" t="e">
        <f t="shared" si="32"/>
        <v>#N/A</v>
      </c>
      <c r="U150" s="39">
        <f t="shared" si="28"/>
        <v>9.717450220920707</v>
      </c>
      <c r="V150" s="139">
        <f t="shared" si="29"/>
        <v>19.530128248781189</v>
      </c>
    </row>
    <row r="151" spans="1:22">
      <c r="A151" s="311"/>
      <c r="B151" s="49"/>
      <c r="C151" s="312"/>
      <c r="D151" s="49"/>
      <c r="E151" s="49"/>
      <c r="F151" s="1"/>
      <c r="G151" s="1"/>
      <c r="H151" s="1"/>
      <c r="I151" s="1"/>
      <c r="J151" s="1"/>
      <c r="K151" s="1"/>
      <c r="L151" s="1"/>
      <c r="M151" s="159">
        <f t="shared" si="23"/>
        <v>13.999999999999966</v>
      </c>
      <c r="N151" s="39">
        <f t="shared" si="24"/>
        <v>1.0239121225158161</v>
      </c>
      <c r="O151" s="39">
        <f t="shared" si="25"/>
        <v>-1.2786689562638875</v>
      </c>
      <c r="P151" s="39">
        <f t="shared" si="26"/>
        <v>-4.005621129484088</v>
      </c>
      <c r="Q151" s="39">
        <f t="shared" si="30"/>
        <v>-4.6261539662224589</v>
      </c>
      <c r="R151" s="40">
        <f t="shared" si="31"/>
        <v>-4.6261539662224589</v>
      </c>
      <c r="S151" s="40">
        <f t="shared" si="27"/>
        <v>-5.9115531958570857</v>
      </c>
      <c r="T151" s="40" t="e">
        <f t="shared" si="32"/>
        <v>#N/A</v>
      </c>
      <c r="U151" s="39">
        <f t="shared" si="28"/>
        <v>10.912029724857721</v>
      </c>
      <c r="V151" s="139">
        <f t="shared" si="29"/>
        <v>19.530128248781189</v>
      </c>
    </row>
    <row r="152" spans="1:22">
      <c r="A152" s="313"/>
      <c r="B152" s="49"/>
      <c r="C152" s="49"/>
      <c r="D152" s="49"/>
      <c r="E152" s="49"/>
      <c r="F152" s="1"/>
      <c r="G152" s="1"/>
      <c r="H152" s="1"/>
      <c r="I152" s="1"/>
      <c r="J152" s="1"/>
      <c r="K152" s="1"/>
      <c r="L152" s="1"/>
      <c r="M152" s="159">
        <f t="shared" si="23"/>
        <v>14.099999999999966</v>
      </c>
      <c r="N152" s="39">
        <f t="shared" si="24"/>
        <v>1.1386115288197776</v>
      </c>
      <c r="O152" s="39">
        <f t="shared" si="25"/>
        <v>-0.38010725692080705</v>
      </c>
      <c r="P152" s="39">
        <f t="shared" si="26"/>
        <v>-2.630330554967184</v>
      </c>
      <c r="Q152" s="39">
        <f t="shared" si="30"/>
        <v>-1.3752071523907634</v>
      </c>
      <c r="R152" s="40">
        <f t="shared" si="31"/>
        <v>-1.3752071523907634</v>
      </c>
      <c r="S152" s="40">
        <f t="shared" si="27"/>
        <v>-1.7573151036560659</v>
      </c>
      <c r="T152" s="40" t="e">
        <f t="shared" si="32"/>
        <v>#N/A</v>
      </c>
      <c r="U152" s="39">
        <f t="shared" si="28"/>
        <v>12.134403504296031</v>
      </c>
      <c r="V152" s="139">
        <f t="shared" si="29"/>
        <v>19.530128248781189</v>
      </c>
    </row>
    <row r="153" spans="1:22">
      <c r="A153" s="314"/>
      <c r="B153" s="315"/>
      <c r="C153" s="319"/>
      <c r="D153" s="317"/>
      <c r="E153" s="49"/>
      <c r="F153" s="1"/>
      <c r="G153" s="1"/>
      <c r="H153" s="1"/>
      <c r="I153" s="1"/>
      <c r="J153" s="1"/>
      <c r="K153" s="1"/>
      <c r="L153" s="1"/>
      <c r="M153" s="159">
        <f t="shared" si="23"/>
        <v>14.199999999999966</v>
      </c>
      <c r="N153" s="39">
        <f t="shared" si="24"/>
        <v>1.2540607308495708</v>
      </c>
      <c r="O153" s="39">
        <f t="shared" si="25"/>
        <v>0.72070590800077816</v>
      </c>
      <c r="P153" s="39">
        <f t="shared" si="26"/>
        <v>-0.77069484706508395</v>
      </c>
      <c r="Q153" s="39">
        <f t="shared" si="30"/>
        <v>2.607474341536824</v>
      </c>
      <c r="R153" s="40">
        <f t="shared" si="31"/>
        <v>2.607474341536824</v>
      </c>
      <c r="S153" s="40">
        <f t="shared" si="27"/>
        <v>3.3319736847007775</v>
      </c>
      <c r="T153" s="40" t="e">
        <f t="shared" si="32"/>
        <v>#N/A</v>
      </c>
      <c r="U153" s="39">
        <f t="shared" si="28"/>
        <v>13.364768001949246</v>
      </c>
      <c r="V153" s="139">
        <f t="shared" si="29"/>
        <v>19.530128248781189</v>
      </c>
    </row>
    <row r="154" spans="1:22">
      <c r="A154" s="314"/>
      <c r="B154" s="315"/>
      <c r="C154" s="319"/>
      <c r="D154" s="317"/>
      <c r="E154" s="49"/>
      <c r="F154" s="1"/>
      <c r="G154" s="1"/>
      <c r="H154" s="1"/>
      <c r="I154" s="1"/>
      <c r="J154" s="1"/>
      <c r="K154" s="1"/>
      <c r="L154" s="1"/>
      <c r="M154" s="159">
        <f t="shared" si="23"/>
        <v>14.299999999999965</v>
      </c>
      <c r="N154" s="39">
        <f t="shared" si="24"/>
        <v>1.3679840027954437</v>
      </c>
      <c r="O154" s="39">
        <f t="shared" si="25"/>
        <v>2.0442429602455365</v>
      </c>
      <c r="P154" s="39">
        <f t="shared" si="26"/>
        <v>1.6450150943187609</v>
      </c>
      <c r="Q154" s="39">
        <f t="shared" si="30"/>
        <v>7.3959586115974547</v>
      </c>
      <c r="R154" s="40">
        <f t="shared" si="31"/>
        <v>7.3959586115974547</v>
      </c>
      <c r="S154" s="40">
        <f t="shared" si="27"/>
        <v>9.4509614435762206</v>
      </c>
      <c r="T154" s="40" t="e">
        <f t="shared" si="32"/>
        <v>#N/A</v>
      </c>
      <c r="U154" s="39">
        <f t="shared" si="28"/>
        <v>14.578870367269383</v>
      </c>
      <c r="V154" s="139">
        <f t="shared" si="29"/>
        <v>19.530128248781189</v>
      </c>
    </row>
    <row r="155" spans="1:22">
      <c r="A155" s="318"/>
      <c r="B155" s="315"/>
      <c r="C155" s="319"/>
      <c r="D155" s="49"/>
      <c r="E155" s="49"/>
      <c r="F155" s="1"/>
      <c r="G155" s="1"/>
      <c r="H155" s="1"/>
      <c r="I155" s="1"/>
      <c r="J155" s="1"/>
      <c r="K155" s="1"/>
      <c r="L155" s="1"/>
      <c r="M155" s="159">
        <f t="shared" si="23"/>
        <v>14.399999999999965</v>
      </c>
      <c r="N155" s="39">
        <f t="shared" si="24"/>
        <v>1.47764593904454</v>
      </c>
      <c r="O155" s="39">
        <f t="shared" si="25"/>
        <v>3.6106984815766401</v>
      </c>
      <c r="P155" s="39">
        <f t="shared" si="26"/>
        <v>4.6891929220800028</v>
      </c>
      <c r="Q155" s="39">
        <f t="shared" si="30"/>
        <v>13.063308544054415</v>
      </c>
      <c r="R155" s="40">
        <f t="shared" si="31"/>
        <v>13.063308544054415</v>
      </c>
      <c r="S155" s="40">
        <f t="shared" si="27"/>
        <v>16.693011935167082</v>
      </c>
      <c r="T155" s="40" t="e">
        <f t="shared" si="32"/>
        <v>#N/A</v>
      </c>
      <c r="U155" s="39">
        <f t="shared" si="28"/>
        <v>15.74755885305016</v>
      </c>
      <c r="V155" s="139">
        <f t="shared" si="29"/>
        <v>19.530128248781189</v>
      </c>
    </row>
    <row r="156" spans="1:22">
      <c r="A156" s="49"/>
      <c r="B156" s="336"/>
      <c r="C156" s="312"/>
      <c r="D156" s="49"/>
      <c r="E156" s="49"/>
      <c r="F156" s="1"/>
      <c r="G156" s="1"/>
      <c r="H156" s="1"/>
      <c r="I156" s="1"/>
      <c r="J156" s="1"/>
      <c r="K156" s="1"/>
      <c r="L156" s="1"/>
      <c r="M156" s="159">
        <f t="shared" si="23"/>
        <v>14.499999999999964</v>
      </c>
      <c r="N156" s="39">
        <f t="shared" si="24"/>
        <v>1.5798098539318304</v>
      </c>
      <c r="O156" s="39">
        <f t="shared" si="25"/>
        <v>5.4395027348269558</v>
      </c>
      <c r="P156" s="39">
        <f t="shared" si="26"/>
        <v>8.4325172741015475</v>
      </c>
      <c r="Q156" s="39">
        <f t="shared" si="30"/>
        <v>19.679821761313153</v>
      </c>
      <c r="R156" s="40">
        <f t="shared" si="31"/>
        <v>19.679821761313153</v>
      </c>
      <c r="S156" s="40">
        <f t="shared" si="27"/>
        <v>25.147955315889764</v>
      </c>
      <c r="T156" s="40" t="e">
        <f t="shared" si="32"/>
        <v>#N/A</v>
      </c>
      <c r="U156" s="39">
        <f t="shared" si="28"/>
        <v>16.83633947351862</v>
      </c>
      <c r="V156" s="139">
        <f t="shared" si="29"/>
        <v>19.530128248781189</v>
      </c>
    </row>
    <row r="157" spans="1:22" ht="25" customHeight="1">
      <c r="A157" s="49"/>
      <c r="B157" s="336"/>
      <c r="C157" s="49"/>
      <c r="D157" s="49"/>
      <c r="E157" s="49"/>
      <c r="F157" s="1"/>
      <c r="G157" s="1"/>
      <c r="H157" s="1"/>
      <c r="I157" s="1"/>
      <c r="J157" s="1"/>
      <c r="K157" s="1"/>
      <c r="L157" s="1"/>
      <c r="M157" s="159">
        <f t="shared" si="23"/>
        <v>14.599999999999964</v>
      </c>
      <c r="N157" s="39">
        <f t="shared" si="24"/>
        <v>1.670697774444009</v>
      </c>
      <c r="O157" s="39">
        <f t="shared" si="25"/>
        <v>7.5487461710831738</v>
      </c>
      <c r="P157" s="39">
        <f t="shared" si="26"/>
        <v>12.940956497040236</v>
      </c>
      <c r="Q157" s="39">
        <f t="shared" si="30"/>
        <v>27.310948520561407</v>
      </c>
      <c r="R157" s="40">
        <f t="shared" si="31"/>
        <v>27.310948520561407</v>
      </c>
      <c r="S157" s="40">
        <f t="shared" si="27"/>
        <v>34.899427513098352</v>
      </c>
      <c r="T157" s="40" t="e">
        <f t="shared" si="32"/>
        <v>#N/A</v>
      </c>
      <c r="U157" s="39">
        <f t="shared" si="28"/>
        <v>17.804949638834909</v>
      </c>
      <c r="V157" s="139">
        <f t="shared" si="29"/>
        <v>19.530128248781189</v>
      </c>
    </row>
    <row r="158" spans="1:2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59">
        <f t="shared" si="23"/>
        <v>14.699999999999964</v>
      </c>
      <c r="N158" s="39">
        <f t="shared" si="24"/>
        <v>1.7459532149786929</v>
      </c>
      <c r="O158" s="39">
        <f t="shared" si="25"/>
        <v>9.9545078345009959</v>
      </c>
      <c r="P158" s="39">
        <f t="shared" si="26"/>
        <v>18.272088875820643</v>
      </c>
      <c r="Q158" s="39">
        <f t="shared" si="30"/>
        <v>36.01486191932343</v>
      </c>
      <c r="R158" s="40">
        <f t="shared" si="31"/>
        <v>36.01486191932343</v>
      </c>
      <c r="S158" s="40">
        <f t="shared" si="27"/>
        <v>46.02176530051316</v>
      </c>
      <c r="T158" s="40" t="e">
        <f t="shared" si="32"/>
        <v>#N/A</v>
      </c>
      <c r="U158" s="39">
        <f t="shared" si="28"/>
        <v>18.606961438494064</v>
      </c>
      <c r="V158" s="139">
        <f t="shared" si="29"/>
        <v>19.530128248781189</v>
      </c>
    </row>
    <row r="159" spans="1:2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38">
        <f t="shared" si="23"/>
        <v>14.799999999999963</v>
      </c>
      <c r="N159" s="39">
        <f t="shared" si="24"/>
        <v>1.8006081215420275</v>
      </c>
      <c r="O159" s="39">
        <f t="shared" si="25"/>
        <v>12.670081073333565</v>
      </c>
      <c r="P159" s="39">
        <f t="shared" si="26"/>
        <v>24.470674311521876</v>
      </c>
      <c r="Q159" s="39">
        <f t="shared" si="30"/>
        <v>45.839656560541115</v>
      </c>
      <c r="R159" s="40">
        <f t="shared" si="31"/>
        <v>45.839656560541115</v>
      </c>
      <c r="S159" s="40">
        <f t="shared" si="27"/>
        <v>58.576426598860678</v>
      </c>
      <c r="T159" s="40" t="e">
        <f t="shared" si="32"/>
        <v>#N/A</v>
      </c>
      <c r="U159" s="39">
        <f t="shared" si="28"/>
        <v>19.18942935924008</v>
      </c>
      <c r="V159" s="139">
        <f t="shared" si="29"/>
        <v>19.530128248781189</v>
      </c>
    </row>
    <row r="160" spans="1:22">
      <c r="A160" s="138"/>
      <c r="B160" s="138"/>
      <c r="C160" s="138"/>
      <c r="D160" s="138"/>
      <c r="E160" s="138"/>
      <c r="F160" s="138"/>
      <c r="G160" s="138"/>
      <c r="H160" s="138"/>
      <c r="I160" s="138"/>
      <c r="J160" s="138"/>
      <c r="K160" s="138"/>
      <c r="L160" s="220"/>
      <c r="M160" s="38">
        <f t="shared" si="23"/>
        <v>14.899999999999963</v>
      </c>
      <c r="N160" s="39">
        <f t="shared" si="24"/>
        <v>1.8293350996754432</v>
      </c>
      <c r="O160" s="39">
        <f t="shared" si="25"/>
        <v>12.455091330062713</v>
      </c>
      <c r="P160" s="39">
        <f t="shared" si="26"/>
        <v>24.063425564771219</v>
      </c>
      <c r="Q160" s="39">
        <f t="shared" si="30"/>
        <v>45.061835492267413</v>
      </c>
      <c r="R160" s="40">
        <f t="shared" si="31"/>
        <v>45.061835492267413</v>
      </c>
      <c r="S160" s="40">
        <f t="shared" si="27"/>
        <v>57.582484188916837</v>
      </c>
      <c r="T160" s="40" t="e">
        <f t="shared" si="32"/>
        <v>#N/A</v>
      </c>
      <c r="U160" s="39">
        <f t="shared" si="28"/>
        <v>19.495578326914139</v>
      </c>
      <c r="V160" s="139">
        <f t="shared" si="29"/>
        <v>19.530128248781189</v>
      </c>
    </row>
    <row r="161" spans="1:2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38">
        <f t="shared" si="23"/>
        <v>14.999999999999963</v>
      </c>
      <c r="N161" s="39">
        <f t="shared" si="24"/>
        <v>1.8325770340106349</v>
      </c>
      <c r="O161" s="39">
        <f t="shared" si="25"/>
        <v>9.3146476507048988</v>
      </c>
      <c r="P161" s="39">
        <f t="shared" si="26"/>
        <v>17.053839615084399</v>
      </c>
      <c r="Q161" s="39">
        <f t="shared" si="30"/>
        <v>33.699882962029299</v>
      </c>
      <c r="R161" s="40">
        <f t="shared" si="31"/>
        <v>33.699882962029299</v>
      </c>
      <c r="S161" s="40">
        <f t="shared" si="27"/>
        <v>43.063558255686083</v>
      </c>
      <c r="T161" s="40">
        <f t="shared" si="32"/>
        <v>1.8325770340106349</v>
      </c>
      <c r="U161" s="39">
        <f t="shared" si="28"/>
        <v>19.530128248781189</v>
      </c>
      <c r="V161" s="139">
        <f t="shared" si="29"/>
        <v>19.530128248781189</v>
      </c>
    </row>
    <row r="162" spans="1:2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38">
        <f t="shared" si="23"/>
        <v>15.099999999999962</v>
      </c>
      <c r="N162" s="39">
        <f t="shared" si="24"/>
        <v>1.8165365291095714</v>
      </c>
      <c r="O162" s="39">
        <f t="shared" si="25"/>
        <v>6.4994211937734958</v>
      </c>
      <c r="P162" s="39">
        <f t="shared" si="26"/>
        <v>10.922596251755646</v>
      </c>
      <c r="Q162" s="39">
        <f t="shared" si="30"/>
        <v>23.514548457935948</v>
      </c>
      <c r="R162" s="40">
        <f t="shared" si="31"/>
        <v>23.514548457935948</v>
      </c>
      <c r="S162" s="40">
        <f t="shared" si="27"/>
        <v>30.048179351703631</v>
      </c>
      <c r="T162" s="40" t="e">
        <f t="shared" si="32"/>
        <v>#N/A</v>
      </c>
      <c r="U162" s="39">
        <f t="shared" si="28"/>
        <v>19.359181482517634</v>
      </c>
      <c r="V162" s="139">
        <f t="shared" si="29"/>
        <v>19.530128248781189</v>
      </c>
    </row>
    <row r="163" spans="1:2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38">
        <f t="shared" si="23"/>
        <v>15.199999999999962</v>
      </c>
      <c r="N163" s="39">
        <f t="shared" si="24"/>
        <v>1.7870250098610838</v>
      </c>
      <c r="O163" s="39">
        <f t="shared" si="25"/>
        <v>4.0066488609363713</v>
      </c>
      <c r="P163" s="39">
        <f t="shared" si="26"/>
        <v>5.6335204035349618</v>
      </c>
      <c r="Q163" s="39">
        <f t="shared" si="30"/>
        <v>14.49583524217211</v>
      </c>
      <c r="R163" s="40">
        <f t="shared" si="31"/>
        <v>14.49583524217211</v>
      </c>
      <c r="S163" s="40">
        <f t="shared" si="27"/>
        <v>18.523573097255529</v>
      </c>
      <c r="T163" s="40" t="e">
        <f t="shared" si="32"/>
        <v>#N/A</v>
      </c>
      <c r="U163" s="39">
        <f t="shared" si="28"/>
        <v>19.044671508288637</v>
      </c>
      <c r="V163" s="139">
        <f t="shared" si="29"/>
        <v>19.530128248781189</v>
      </c>
    </row>
    <row r="164" spans="1:2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38">
        <f t="shared" si="23"/>
        <v>15.299999999999962</v>
      </c>
      <c r="N164" s="39">
        <f t="shared" si="24"/>
        <v>1.7491887322015343</v>
      </c>
      <c r="O164" s="39">
        <f t="shared" si="25"/>
        <v>1.8311649844624092</v>
      </c>
      <c r="P164" s="39">
        <f t="shared" si="26"/>
        <v>1.1395937162404743</v>
      </c>
      <c r="Q164" s="39">
        <f t="shared" si="30"/>
        <v>6.6250542129609595</v>
      </c>
      <c r="R164" s="40">
        <f t="shared" si="31"/>
        <v>6.6250542129609595</v>
      </c>
      <c r="S164" s="40">
        <f t="shared" si="27"/>
        <v>8.4658575333444723</v>
      </c>
      <c r="T164" s="40" t="e">
        <f t="shared" si="32"/>
        <v>#N/A</v>
      </c>
      <c r="U164" s="39">
        <f t="shared" si="28"/>
        <v>18.641442971952408</v>
      </c>
      <c r="V164" s="139">
        <f t="shared" si="29"/>
        <v>19.530128248781189</v>
      </c>
    </row>
    <row r="165" spans="1:2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38">
        <f t="shared" si="23"/>
        <v>15.399999999999961</v>
      </c>
      <c r="N165" s="39">
        <f t="shared" si="24"/>
        <v>1.7075192883873116</v>
      </c>
      <c r="O165" s="39">
        <f t="shared" si="25"/>
        <v>-3.3684438455607743E-2</v>
      </c>
      <c r="P165" s="39">
        <f t="shared" si="26"/>
        <v>-2.6118537144413554</v>
      </c>
      <c r="Q165" s="39">
        <f t="shared" si="30"/>
        <v>-0.12186844593201064</v>
      </c>
      <c r="R165" s="40">
        <f t="shared" si="31"/>
        <v>-0.12186844593201064</v>
      </c>
      <c r="S165" s="40">
        <f t="shared" si="27"/>
        <v>-0.15573018241150136</v>
      </c>
      <c r="T165" s="40" t="e">
        <f t="shared" si="32"/>
        <v>#N/A</v>
      </c>
      <c r="U165" s="39">
        <f t="shared" si="28"/>
        <v>18.197363641783074</v>
      </c>
      <c r="V165" s="139">
        <f t="shared" si="29"/>
        <v>19.530128248781189</v>
      </c>
    </row>
    <row r="166" spans="1:2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38">
        <f t="shared" si="23"/>
        <v>15.499999999999961</v>
      </c>
      <c r="N166" s="39">
        <f t="shared" si="24"/>
        <v>1.6658672043549079</v>
      </c>
      <c r="O166" s="39">
        <f t="shared" si="25"/>
        <v>-1.5952437470807206</v>
      </c>
      <c r="P166" s="39">
        <f t="shared" si="26"/>
        <v>-5.6747300470242603</v>
      </c>
      <c r="Q166" s="39">
        <f t="shared" si="30"/>
        <v>-5.771504150074966</v>
      </c>
      <c r="R166" s="40">
        <f t="shared" si="31"/>
        <v>-5.771504150074966</v>
      </c>
      <c r="S166" s="40">
        <f t="shared" si="27"/>
        <v>-7.3751444617693975</v>
      </c>
      <c r="T166" s="40" t="e">
        <f t="shared" si="32"/>
        <v>#N/A</v>
      </c>
      <c r="U166" s="39">
        <f t="shared" si="28"/>
        <v>17.753469318169532</v>
      </c>
      <c r="V166" s="139">
        <f t="shared" si="29"/>
        <v>19.530128248781189</v>
      </c>
    </row>
    <row r="167" spans="1:2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38">
        <f t="shared" si="23"/>
        <v>15.599999999999961</v>
      </c>
      <c r="N167" s="39">
        <f t="shared" si="24"/>
        <v>1.6274569815968367</v>
      </c>
      <c r="O167" s="39">
        <f t="shared" si="25"/>
        <v>-2.860863463435674</v>
      </c>
      <c r="P167" s="39">
        <f t="shared" si="26"/>
        <v>-8.1004959320500713</v>
      </c>
      <c r="Q167" s="39">
        <f t="shared" si="30"/>
        <v>-10.350446683920673</v>
      </c>
      <c r="R167" s="40">
        <f t="shared" si="31"/>
        <v>-10.350446683920673</v>
      </c>
      <c r="S167" s="40">
        <f t="shared" si="27"/>
        <v>-13.226368300673482</v>
      </c>
      <c r="T167" s="40" t="e">
        <f t="shared" si="32"/>
        <v>#N/A</v>
      </c>
      <c r="U167" s="39">
        <f t="shared" si="28"/>
        <v>17.344124137799326</v>
      </c>
      <c r="V167" s="139">
        <f t="shared" si="29"/>
        <v>19.530128248781189</v>
      </c>
    </row>
    <row r="168" spans="1:2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38">
        <f t="shared" si="23"/>
        <v>15.69999999999996</v>
      </c>
      <c r="N168" s="39">
        <f t="shared" si="24"/>
        <v>1.5949021709259155</v>
      </c>
      <c r="O168" s="39">
        <f t="shared" si="25"/>
        <v>-3.8373273326996427</v>
      </c>
      <c r="P168" s="39">
        <f t="shared" si="26"/>
        <v>-9.9351540480526488</v>
      </c>
      <c r="Q168" s="39">
        <f t="shared" si="30"/>
        <v>-13.883239264470488</v>
      </c>
      <c r="R168" s="40">
        <f t="shared" si="31"/>
        <v>-13.883239264470488</v>
      </c>
      <c r="S168" s="40">
        <f t="shared" si="27"/>
        <v>-17.740764367543424</v>
      </c>
      <c r="T168" s="40" t="e">
        <f t="shared" si="32"/>
        <v>#N/A</v>
      </c>
      <c r="U168" s="39">
        <f t="shared" si="28"/>
        <v>16.997181217682936</v>
      </c>
      <c r="V168" s="139">
        <f t="shared" si="29"/>
        <v>19.530128248781189</v>
      </c>
    </row>
    <row r="169" spans="1:2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38">
        <f t="shared" si="23"/>
        <v>15.79999999999996</v>
      </c>
      <c r="N169" s="39">
        <f t="shared" si="24"/>
        <v>1.5702192950161711</v>
      </c>
      <c r="O169" s="39">
        <f t="shared" si="25"/>
        <v>-4.5303878978053982</v>
      </c>
      <c r="P169" s="39">
        <f t="shared" si="26"/>
        <v>-11.216863988628221</v>
      </c>
      <c r="Q169" s="39">
        <f t="shared" si="30"/>
        <v>-16.390694275706938</v>
      </c>
      <c r="R169" s="40">
        <f t="shared" si="31"/>
        <v>-16.390694275706938</v>
      </c>
      <c r="S169" s="40">
        <f t="shared" si="27"/>
        <v>-20.944927867801194</v>
      </c>
      <c r="T169" s="40" t="e">
        <f t="shared" si="32"/>
        <v>#N/A</v>
      </c>
      <c r="U169" s="39">
        <f t="shared" si="28"/>
        <v>16.73413103036772</v>
      </c>
      <c r="V169" s="139">
        <f t="shared" si="29"/>
        <v>19.530128248781189</v>
      </c>
    </row>
    <row r="170" spans="1:2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38">
        <f t="shared" si="23"/>
        <v>15.899999999999959</v>
      </c>
      <c r="N170" s="39">
        <f t="shared" si="24"/>
        <v>1.5548396606702735</v>
      </c>
      <c r="O170" s="39">
        <f t="shared" si="25"/>
        <v>-4.94440814950842</v>
      </c>
      <c r="P170" s="39">
        <f t="shared" si="26"/>
        <v>-11.974137801021657</v>
      </c>
      <c r="Q170" s="39">
        <f t="shared" si="30"/>
        <v>-17.888596778250434</v>
      </c>
      <c r="R170" s="40">
        <f t="shared" si="31"/>
        <v>-17.888596778250434</v>
      </c>
      <c r="S170" s="40">
        <f t="shared" si="27"/>
        <v>-22.859029817422194</v>
      </c>
      <c r="T170" s="40" t="e">
        <f t="shared" si="32"/>
        <v>#N/A</v>
      </c>
      <c r="U170" s="39">
        <f t="shared" si="28"/>
        <v>16.570227289558865</v>
      </c>
      <c r="V170" s="139">
        <f t="shared" si="29"/>
        <v>19.530128248781189</v>
      </c>
    </row>
    <row r="171" spans="1:2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38">
        <f t="shared" si="23"/>
        <v>15.999999999999959</v>
      </c>
      <c r="N171" s="39">
        <f t="shared" si="24"/>
        <v>1.5496183207792082</v>
      </c>
      <c r="O171" s="39">
        <f t="shared" si="25"/>
        <v>-5.0821071647848095</v>
      </c>
      <c r="P171" s="39">
        <f t="shared" si="26"/>
        <v>-12.224579069131435</v>
      </c>
      <c r="Q171" s="39">
        <f t="shared" si="30"/>
        <v>-18.386784243070945</v>
      </c>
      <c r="R171" s="40">
        <f t="shared" si="31"/>
        <v>-18.386784243070945</v>
      </c>
      <c r="S171" s="40">
        <f t="shared" si="27"/>
        <v>-23.495641076212713</v>
      </c>
      <c r="T171" s="40" t="e">
        <f t="shared" si="32"/>
        <v>#N/A</v>
      </c>
      <c r="U171" s="39">
        <f t="shared" si="28"/>
        <v>16.514582459458701</v>
      </c>
      <c r="V171" s="139">
        <f t="shared" si="29"/>
        <v>19.530128248781189</v>
      </c>
    </row>
    <row r="172" spans="1:2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38">
        <f t="shared" si="23"/>
        <v>16.099999999999959</v>
      </c>
      <c r="N172" s="39">
        <f t="shared" si="24"/>
        <v>1.5548396606702652</v>
      </c>
      <c r="O172" s="39">
        <f t="shared" si="25"/>
        <v>-4.9444081495086403</v>
      </c>
      <c r="P172" s="39">
        <f t="shared" si="26"/>
        <v>-11.974137801022058</v>
      </c>
      <c r="Q172" s="39">
        <f t="shared" si="30"/>
        <v>-17.88859677825123</v>
      </c>
      <c r="R172" s="40">
        <f t="shared" si="31"/>
        <v>-17.88859677825123</v>
      </c>
      <c r="S172" s="40">
        <f t="shared" si="27"/>
        <v>-22.85902981742321</v>
      </c>
      <c r="T172" s="40" t="e">
        <f t="shared" si="32"/>
        <v>#N/A</v>
      </c>
      <c r="U172" s="39">
        <f t="shared" si="28"/>
        <v>16.570227289558776</v>
      </c>
      <c r="V172" s="139">
        <f t="shared" si="29"/>
        <v>19.530128248781189</v>
      </c>
    </row>
    <row r="173" spans="1:2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38">
        <f t="shared" si="23"/>
        <v>16.19999999999996</v>
      </c>
      <c r="N173" s="39">
        <f t="shared" si="24"/>
        <v>1.5702192950161553</v>
      </c>
      <c r="O173" s="39">
        <f t="shared" si="25"/>
        <v>-4.5303878978058325</v>
      </c>
      <c r="P173" s="39">
        <f t="shared" si="26"/>
        <v>-11.216863988629019</v>
      </c>
      <c r="Q173" s="39">
        <f t="shared" si="30"/>
        <v>-16.390694275708512</v>
      </c>
      <c r="R173" s="40">
        <f t="shared" si="31"/>
        <v>-16.390694275708512</v>
      </c>
      <c r="S173" s="40">
        <f t="shared" si="27"/>
        <v>-20.944927867803202</v>
      </c>
      <c r="T173" s="40" t="e">
        <f t="shared" si="32"/>
        <v>#N/A</v>
      </c>
      <c r="U173" s="39">
        <f t="shared" si="28"/>
        <v>16.734131030367553</v>
      </c>
      <c r="V173" s="139">
        <f t="shared" si="29"/>
        <v>19.530128248781189</v>
      </c>
    </row>
    <row r="174" spans="1:2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38">
        <f t="shared" si="23"/>
        <v>16.299999999999962</v>
      </c>
      <c r="N174" s="39">
        <f t="shared" si="24"/>
        <v>1.5949021709258935</v>
      </c>
      <c r="O174" s="39">
        <f t="shared" si="25"/>
        <v>-3.8373273327002804</v>
      </c>
      <c r="P174" s="39">
        <f t="shared" si="26"/>
        <v>-9.9351540480538336</v>
      </c>
      <c r="Q174" s="39">
        <f t="shared" si="30"/>
        <v>-13.883239264472795</v>
      </c>
      <c r="R174" s="40">
        <f t="shared" si="31"/>
        <v>-13.883239264472795</v>
      </c>
      <c r="S174" s="40">
        <f t="shared" si="27"/>
        <v>-17.740764367546372</v>
      </c>
      <c r="T174" s="40" t="e">
        <f t="shared" si="32"/>
        <v>#N/A</v>
      </c>
      <c r="U174" s="39">
        <f t="shared" si="28"/>
        <v>16.997181217682702</v>
      </c>
      <c r="V174" s="139">
        <f t="shared" si="29"/>
        <v>19.530128248781189</v>
      </c>
    </row>
    <row r="175" spans="1:2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38">
        <f t="shared" si="23"/>
        <v>16.399999999999963</v>
      </c>
      <c r="N175" s="39">
        <f t="shared" si="24"/>
        <v>1.6274569815968101</v>
      </c>
      <c r="O175" s="39">
        <f t="shared" si="25"/>
        <v>-2.8608634634365093</v>
      </c>
      <c r="P175" s="39">
        <f t="shared" si="26"/>
        <v>-8.1004959320516559</v>
      </c>
      <c r="Q175" s="39">
        <f t="shared" si="30"/>
        <v>-10.350446683923694</v>
      </c>
      <c r="R175" s="40">
        <f t="shared" si="31"/>
        <v>-10.350446683923694</v>
      </c>
      <c r="S175" s="40">
        <f t="shared" si="27"/>
        <v>-13.226368300677343</v>
      </c>
      <c r="T175" s="40" t="e">
        <f t="shared" si="32"/>
        <v>#N/A</v>
      </c>
      <c r="U175" s="39">
        <f t="shared" si="28"/>
        <v>17.344124137799042</v>
      </c>
      <c r="V175" s="139">
        <f t="shared" si="29"/>
        <v>19.530128248781189</v>
      </c>
    </row>
    <row r="176" spans="1:2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38">
        <f t="shared" si="23"/>
        <v>16.499999999999964</v>
      </c>
      <c r="N176" s="39">
        <f t="shared" si="24"/>
        <v>1.6658672043548783</v>
      </c>
      <c r="O176" s="39">
        <f t="shared" si="25"/>
        <v>-1.5952437470817498</v>
      </c>
      <c r="P176" s="39">
        <f t="shared" si="26"/>
        <v>-5.6747300470262569</v>
      </c>
      <c r="Q176" s="39">
        <f t="shared" si="30"/>
        <v>-5.7715041500786892</v>
      </c>
      <c r="R176" s="40">
        <f t="shared" si="31"/>
        <v>-5.7715041500786892</v>
      </c>
      <c r="S176" s="40">
        <f t="shared" si="27"/>
        <v>-7.3751444617741555</v>
      </c>
      <c r="T176" s="40" t="e">
        <f t="shared" si="32"/>
        <v>#N/A</v>
      </c>
      <c r="U176" s="39">
        <f t="shared" si="28"/>
        <v>17.75346931816922</v>
      </c>
      <c r="V176" s="139">
        <f t="shared" si="29"/>
        <v>19.530128248781189</v>
      </c>
    </row>
    <row r="177" spans="1:2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38">
        <f t="shared" si="23"/>
        <v>16.599999999999966</v>
      </c>
      <c r="N177" s="39">
        <f t="shared" si="24"/>
        <v>1.7075192883872818</v>
      </c>
      <c r="O177" s="39">
        <f t="shared" si="25"/>
        <v>-3.3684438456823583E-2</v>
      </c>
      <c r="P177" s="39">
        <f t="shared" si="26"/>
        <v>-2.6118537144437757</v>
      </c>
      <c r="Q177" s="39">
        <f t="shared" si="30"/>
        <v>-0.1218684459364095</v>
      </c>
      <c r="R177" s="40">
        <f t="shared" si="31"/>
        <v>-0.1218684459364095</v>
      </c>
      <c r="S177" s="40">
        <f t="shared" si="27"/>
        <v>-0.15573018241712244</v>
      </c>
      <c r="T177" s="40" t="e">
        <f t="shared" si="32"/>
        <v>#N/A</v>
      </c>
      <c r="U177" s="39">
        <f t="shared" si="28"/>
        <v>18.197363641782754</v>
      </c>
      <c r="V177" s="139">
        <f t="shared" si="29"/>
        <v>19.530128248781189</v>
      </c>
    </row>
    <row r="178" spans="1:2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38">
        <f t="shared" si="23"/>
        <v>16.699999999999967</v>
      </c>
      <c r="N178" s="39">
        <f t="shared" si="24"/>
        <v>1.7491887322015061</v>
      </c>
      <c r="O178" s="39">
        <f t="shared" si="25"/>
        <v>1.8311649844610103</v>
      </c>
      <c r="P178" s="39">
        <f t="shared" si="26"/>
        <v>1.1395937162376222</v>
      </c>
      <c r="Q178" s="39">
        <f t="shared" si="30"/>
        <v>6.6250542129558987</v>
      </c>
      <c r="R178" s="40">
        <f t="shared" si="31"/>
        <v>6.6250542129558987</v>
      </c>
      <c r="S178" s="40">
        <f t="shared" si="27"/>
        <v>8.4658575333380046</v>
      </c>
      <c r="T178" s="40" t="e">
        <f t="shared" si="32"/>
        <v>#N/A</v>
      </c>
      <c r="U178" s="39">
        <f t="shared" si="28"/>
        <v>18.641442971952106</v>
      </c>
      <c r="V178" s="139">
        <f t="shared" si="29"/>
        <v>19.530128248781189</v>
      </c>
    </row>
    <row r="179" spans="1:2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38">
        <f t="shared" si="23"/>
        <v>16.799999999999969</v>
      </c>
      <c r="N179" s="39">
        <f t="shared" si="24"/>
        <v>1.7870250098610607</v>
      </c>
      <c r="O179" s="39">
        <f t="shared" si="25"/>
        <v>4.0066488609347957</v>
      </c>
      <c r="P179" s="39">
        <f t="shared" si="26"/>
        <v>5.6335204035316657</v>
      </c>
      <c r="Q179" s="39">
        <f t="shared" si="30"/>
        <v>14.495835242166409</v>
      </c>
      <c r="R179" s="40">
        <f t="shared" si="31"/>
        <v>14.495835242166409</v>
      </c>
      <c r="S179" s="40">
        <f t="shared" si="27"/>
        <v>18.523573097248246</v>
      </c>
      <c r="T179" s="40" t="e">
        <f t="shared" si="32"/>
        <v>#N/A</v>
      </c>
      <c r="U179" s="39">
        <f t="shared" si="28"/>
        <v>19.044671508288392</v>
      </c>
      <c r="V179" s="139">
        <f t="shared" si="29"/>
        <v>19.530128248781189</v>
      </c>
    </row>
    <row r="180" spans="1:2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38">
        <f t="shared" si="23"/>
        <v>16.89999999999997</v>
      </c>
      <c r="N180" s="39">
        <f t="shared" si="24"/>
        <v>1.8165365291095557</v>
      </c>
      <c r="O180" s="39">
        <f t="shared" si="25"/>
        <v>6.4994211937717532</v>
      </c>
      <c r="P180" s="39">
        <f t="shared" si="26"/>
        <v>10.9225962517519</v>
      </c>
      <c r="Q180" s="39">
        <f t="shared" si="30"/>
        <v>23.514548457929642</v>
      </c>
      <c r="R180" s="40">
        <f t="shared" si="31"/>
        <v>23.514548457929642</v>
      </c>
      <c r="S180" s="40">
        <f t="shared" si="27"/>
        <v>30.048179351695573</v>
      </c>
      <c r="T180" s="40" t="e">
        <f t="shared" si="32"/>
        <v>#N/A</v>
      </c>
      <c r="U180" s="39">
        <f t="shared" si="28"/>
        <v>19.359181482517467</v>
      </c>
      <c r="V180" s="139">
        <f t="shared" si="29"/>
        <v>19.530128248781189</v>
      </c>
    </row>
    <row r="181" spans="1:2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38">
        <f t="shared" si="23"/>
        <v>16.999999999999972</v>
      </c>
      <c r="N181" s="39">
        <f t="shared" si="24"/>
        <v>1.83257703401063</v>
      </c>
      <c r="O181" s="39">
        <f t="shared" si="25"/>
        <v>9.3146476507029963</v>
      </c>
      <c r="P181" s="39">
        <f t="shared" si="26"/>
        <v>17.053839615080197</v>
      </c>
      <c r="Q181" s="39">
        <f t="shared" si="30"/>
        <v>33.699882962022414</v>
      </c>
      <c r="R181" s="40">
        <f t="shared" si="31"/>
        <v>33.699882962022414</v>
      </c>
      <c r="S181" s="40">
        <f t="shared" si="27"/>
        <v>43.063558255677286</v>
      </c>
      <c r="T181" s="40">
        <f t="shared" si="32"/>
        <v>1.83257703401063</v>
      </c>
      <c r="U181" s="39">
        <f t="shared" si="28"/>
        <v>19.530128248781136</v>
      </c>
      <c r="V181" s="139">
        <f t="shared" si="29"/>
        <v>19.530128248781189</v>
      </c>
    </row>
    <row r="182" spans="1:2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38">
        <f t="shared" si="23"/>
        <v>17.099999999999973</v>
      </c>
      <c r="N182" s="39">
        <f t="shared" si="24"/>
        <v>1.8293350996754523</v>
      </c>
      <c r="O182" s="39">
        <f t="shared" si="25"/>
        <v>12.455091330060657</v>
      </c>
      <c r="P182" s="39">
        <f t="shared" si="26"/>
        <v>24.063425564766582</v>
      </c>
      <c r="Q182" s="39">
        <f t="shared" si="30"/>
        <v>45.061835492259981</v>
      </c>
      <c r="R182" s="40">
        <f t="shared" si="31"/>
        <v>45.061835492259981</v>
      </c>
      <c r="S182" s="40">
        <f t="shared" si="27"/>
        <v>57.582484188907337</v>
      </c>
      <c r="T182" s="40" t="e">
        <f t="shared" si="32"/>
        <v>#N/A</v>
      </c>
      <c r="U182" s="39">
        <f t="shared" si="28"/>
        <v>19.495578326914234</v>
      </c>
      <c r="V182" s="139">
        <f t="shared" si="29"/>
        <v>19.530128248781189</v>
      </c>
    </row>
    <row r="183" spans="1:2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38">
        <f t="shared" si="23"/>
        <v>17.199999999999974</v>
      </c>
      <c r="N183" s="39">
        <f t="shared" si="24"/>
        <v>1.8006081215420535</v>
      </c>
      <c r="O183" s="39">
        <f t="shared" si="25"/>
        <v>12.6700810733353</v>
      </c>
      <c r="P183" s="39">
        <f t="shared" si="26"/>
        <v>24.470674311525887</v>
      </c>
      <c r="Q183" s="39">
        <f t="shared" si="30"/>
        <v>45.839656560547397</v>
      </c>
      <c r="R183" s="40">
        <f t="shared" si="31"/>
        <v>45.839656560547397</v>
      </c>
      <c r="S183" s="40">
        <f t="shared" si="27"/>
        <v>58.5764265988687</v>
      </c>
      <c r="T183" s="40" t="e">
        <f t="shared" si="32"/>
        <v>#N/A</v>
      </c>
      <c r="U183" s="39">
        <f t="shared" si="28"/>
        <v>19.189429359240357</v>
      </c>
      <c r="V183" s="139">
        <f t="shared" si="29"/>
        <v>19.530128248781189</v>
      </c>
    </row>
    <row r="184" spans="1:2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38">
        <f t="shared" si="23"/>
        <v>17.299999999999976</v>
      </c>
      <c r="N184" s="39">
        <f t="shared" si="24"/>
        <v>1.7459532149787316</v>
      </c>
      <c r="O184" s="39">
        <f t="shared" si="25"/>
        <v>9.9545078345024915</v>
      </c>
      <c r="P184" s="39">
        <f t="shared" si="26"/>
        <v>18.272088875824018</v>
      </c>
      <c r="Q184" s="39">
        <f t="shared" si="30"/>
        <v>36.014861919328844</v>
      </c>
      <c r="R184" s="40">
        <f t="shared" si="31"/>
        <v>36.014861919328844</v>
      </c>
      <c r="S184" s="40">
        <f t="shared" si="27"/>
        <v>46.021765300520073</v>
      </c>
      <c r="T184" s="40" t="e">
        <f t="shared" si="32"/>
        <v>#N/A</v>
      </c>
      <c r="U184" s="39">
        <f t="shared" si="28"/>
        <v>18.606961438494476</v>
      </c>
      <c r="V184" s="139">
        <f t="shared" si="29"/>
        <v>19.530128248781189</v>
      </c>
    </row>
    <row r="185" spans="1:2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38">
        <f t="shared" si="23"/>
        <v>17.399999999999977</v>
      </c>
      <c r="N185" s="39">
        <f t="shared" si="24"/>
        <v>1.6706977744440568</v>
      </c>
      <c r="O185" s="39">
        <f t="shared" si="25"/>
        <v>7.5487461710844572</v>
      </c>
      <c r="P185" s="39">
        <f t="shared" si="26"/>
        <v>12.940956497043031</v>
      </c>
      <c r="Q185" s="39">
        <f t="shared" si="30"/>
        <v>27.310948520566054</v>
      </c>
      <c r="R185" s="40">
        <f t="shared" si="31"/>
        <v>27.310948520566054</v>
      </c>
      <c r="S185" s="40">
        <f t="shared" si="27"/>
        <v>34.899427513104293</v>
      </c>
      <c r="T185" s="40" t="e">
        <f t="shared" si="32"/>
        <v>#N/A</v>
      </c>
      <c r="U185" s="39">
        <f t="shared" si="28"/>
        <v>17.804949638835417</v>
      </c>
      <c r="V185" s="139">
        <f t="shared" si="29"/>
        <v>19.530128248781189</v>
      </c>
    </row>
    <row r="186" spans="1:2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38">
        <f t="shared" si="23"/>
        <v>17.499999999999979</v>
      </c>
      <c r="N186" s="39">
        <f t="shared" si="24"/>
        <v>1.5798098539318837</v>
      </c>
      <c r="O186" s="39">
        <f t="shared" si="25"/>
        <v>5.4395027348280376</v>
      </c>
      <c r="P186" s="39">
        <f t="shared" si="26"/>
        <v>8.4325172741038195</v>
      </c>
      <c r="Q186" s="39">
        <f t="shared" si="30"/>
        <v>19.679821761317069</v>
      </c>
      <c r="R186" s="40">
        <f t="shared" si="31"/>
        <v>19.679821761317069</v>
      </c>
      <c r="S186" s="40">
        <f t="shared" si="27"/>
        <v>25.147955315894766</v>
      </c>
      <c r="T186" s="40" t="e">
        <f t="shared" si="32"/>
        <v>#N/A</v>
      </c>
      <c r="U186" s="39">
        <f t="shared" si="28"/>
        <v>16.836339473519185</v>
      </c>
      <c r="V186" s="139">
        <f t="shared" si="29"/>
        <v>19.530128248781189</v>
      </c>
    </row>
    <row r="187" spans="1:2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38">
        <f t="shared" si="23"/>
        <v>17.59999999999998</v>
      </c>
      <c r="N187" s="39">
        <f t="shared" si="24"/>
        <v>1.4776459390445966</v>
      </c>
      <c r="O187" s="39">
        <f t="shared" si="25"/>
        <v>3.6106984815775425</v>
      </c>
      <c r="P187" s="39">
        <f t="shared" si="26"/>
        <v>4.6891929220818076</v>
      </c>
      <c r="Q187" s="39">
        <f t="shared" si="30"/>
        <v>13.06330854405768</v>
      </c>
      <c r="R187" s="40">
        <f t="shared" si="31"/>
        <v>13.06330854405768</v>
      </c>
      <c r="S187" s="40">
        <f t="shared" si="27"/>
        <v>16.693011935171256</v>
      </c>
      <c r="T187" s="40" t="e">
        <f t="shared" si="32"/>
        <v>#N/A</v>
      </c>
      <c r="U187" s="39">
        <f t="shared" si="28"/>
        <v>15.747558853050764</v>
      </c>
      <c r="V187" s="139">
        <f t="shared" si="29"/>
        <v>19.530128248781189</v>
      </c>
    </row>
    <row r="188" spans="1:2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38">
        <f t="shared" si="23"/>
        <v>17.699999999999982</v>
      </c>
      <c r="N188" s="39">
        <f t="shared" si="24"/>
        <v>1.3679840027955015</v>
      </c>
      <c r="O188" s="39">
        <f t="shared" si="25"/>
        <v>2.0442429602462808</v>
      </c>
      <c r="P188" s="39">
        <f t="shared" si="26"/>
        <v>1.6450150943201602</v>
      </c>
      <c r="Q188" s="39">
        <f t="shared" si="30"/>
        <v>7.3959586116001477</v>
      </c>
      <c r="R188" s="40">
        <f t="shared" si="31"/>
        <v>7.3959586116001477</v>
      </c>
      <c r="S188" s="40">
        <f t="shared" si="27"/>
        <v>9.4509614435796614</v>
      </c>
      <c r="T188" s="40" t="e">
        <f t="shared" si="32"/>
        <v>#N/A</v>
      </c>
      <c r="U188" s="39">
        <f t="shared" si="28"/>
        <v>14.578870367269998</v>
      </c>
      <c r="V188" s="139">
        <f t="shared" si="29"/>
        <v>19.530128248781189</v>
      </c>
    </row>
    <row r="189" spans="1:2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38">
        <f t="shared" si="23"/>
        <v>17.799999999999983</v>
      </c>
      <c r="N189" s="39">
        <f t="shared" si="24"/>
        <v>1.2540607308496283</v>
      </c>
      <c r="O189" s="39">
        <f t="shared" si="25"/>
        <v>0.72070590800138001</v>
      </c>
      <c r="P189" s="39">
        <f t="shared" si="26"/>
        <v>-0.7706948470640248</v>
      </c>
      <c r="Q189" s="39">
        <f t="shared" si="30"/>
        <v>2.6074743415390014</v>
      </c>
      <c r="R189" s="40">
        <f t="shared" si="31"/>
        <v>2.6074743415390014</v>
      </c>
      <c r="S189" s="40">
        <f t="shared" si="27"/>
        <v>3.3319736847035597</v>
      </c>
      <c r="T189" s="40" t="e">
        <f t="shared" si="32"/>
        <v>#N/A</v>
      </c>
      <c r="U189" s="39">
        <f t="shared" si="28"/>
        <v>13.364768001949859</v>
      </c>
      <c r="V189" s="139">
        <f t="shared" si="29"/>
        <v>19.530128248781189</v>
      </c>
    </row>
    <row r="190" spans="1:2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38">
        <f t="shared" si="23"/>
        <v>17.899999999999984</v>
      </c>
      <c r="N190" s="39">
        <f t="shared" si="24"/>
        <v>1.1386115288198331</v>
      </c>
      <c r="O190" s="39">
        <f t="shared" si="25"/>
        <v>-0.38010725692032893</v>
      </c>
      <c r="P190" s="39">
        <f t="shared" si="26"/>
        <v>-2.6303305549664113</v>
      </c>
      <c r="Q190" s="39">
        <f t="shared" si="30"/>
        <v>-1.3752071523890339</v>
      </c>
      <c r="R190" s="40">
        <f t="shared" si="31"/>
        <v>-1.3752071523890339</v>
      </c>
      <c r="S190" s="40">
        <f t="shared" si="27"/>
        <v>-1.7573151036538555</v>
      </c>
      <c r="T190" s="40" t="e">
        <f t="shared" si="32"/>
        <v>#N/A</v>
      </c>
      <c r="U190" s="39">
        <f t="shared" si="28"/>
        <v>12.134403504296623</v>
      </c>
      <c r="V190" s="139">
        <f t="shared" si="29"/>
        <v>19.530128248781189</v>
      </c>
    </row>
    <row r="191" spans="1:2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38">
        <f t="shared" ref="M191:M254" si="33">MIN(M190+Dx,LSchiene)</f>
        <v>17.999999999999986</v>
      </c>
      <c r="N191" s="39">
        <f t="shared" si="24"/>
        <v>1.0239121225158685</v>
      </c>
      <c r="O191" s="39">
        <f t="shared" si="25"/>
        <v>-1.2786689562635161</v>
      </c>
      <c r="P191" s="39">
        <f t="shared" si="26"/>
        <v>-4.0056211294835551</v>
      </c>
      <c r="Q191" s="39">
        <f t="shared" si="30"/>
        <v>-4.6261539662211142</v>
      </c>
      <c r="R191" s="40">
        <f t="shared" si="31"/>
        <v>-4.6261539662211142</v>
      </c>
      <c r="S191" s="40">
        <f t="shared" si="27"/>
        <v>-5.911553195855368</v>
      </c>
      <c r="T191" s="40" t="e">
        <f t="shared" si="32"/>
        <v>#N/A</v>
      </c>
      <c r="U191" s="39">
        <f t="shared" si="28"/>
        <v>10.912029724858279</v>
      </c>
      <c r="V191" s="139">
        <f t="shared" si="29"/>
        <v>19.530128248781189</v>
      </c>
    </row>
    <row r="192" spans="1:2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38">
        <f t="shared" si="33"/>
        <v>18.099999999999987</v>
      </c>
      <c r="N192" s="39">
        <f t="shared" si="24"/>
        <v>0.91182074572977523</v>
      </c>
      <c r="O192" s="39">
        <f t="shared" si="25"/>
        <v>-1.9953246125114126</v>
      </c>
      <c r="P192" s="39">
        <f t="shared" si="26"/>
        <v>-4.965796691070639</v>
      </c>
      <c r="Q192" s="39">
        <f t="shared" si="30"/>
        <v>-7.2189747196505518</v>
      </c>
      <c r="R192" s="40">
        <f t="shared" si="31"/>
        <v>-7.2189747196505518</v>
      </c>
      <c r="S192" s="40">
        <f t="shared" si="27"/>
        <v>-9.224801722197931</v>
      </c>
      <c r="T192" s="40" t="e">
        <f t="shared" si="32"/>
        <v>#N/A</v>
      </c>
      <c r="U192" s="39">
        <f t="shared" si="28"/>
        <v>9.7174502209212275</v>
      </c>
      <c r="V192" s="139">
        <f t="shared" si="29"/>
        <v>19.530128248781189</v>
      </c>
    </row>
    <row r="193" spans="1:2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38">
        <f t="shared" si="33"/>
        <v>18.199999999999989</v>
      </c>
      <c r="N193" s="39">
        <f t="shared" si="24"/>
        <v>0.80382007863625404</v>
      </c>
      <c r="O193" s="39">
        <f t="shared" si="25"/>
        <v>-2.54996196833515</v>
      </c>
      <c r="P193" s="39">
        <f t="shared" si="26"/>
        <v>-5.5762290895412789</v>
      </c>
      <c r="Q193" s="39">
        <f t="shared" si="30"/>
        <v>-9.225622171979559</v>
      </c>
      <c r="R193" s="40">
        <f t="shared" si="31"/>
        <v>-9.225622171979559</v>
      </c>
      <c r="S193" s="40">
        <f t="shared" si="27"/>
        <v>-11.789005863777854</v>
      </c>
      <c r="T193" s="40" t="e">
        <f t="shared" si="32"/>
        <v>#N/A</v>
      </c>
      <c r="U193" s="39">
        <f t="shared" si="28"/>
        <v>8.5664662021625659</v>
      </c>
      <c r="V193" s="139">
        <f t="shared" si="29"/>
        <v>19.530128248781189</v>
      </c>
    </row>
    <row r="194" spans="1:2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38">
        <f t="shared" si="33"/>
        <v>18.29999999999999</v>
      </c>
      <c r="N194" s="39">
        <f t="shared" si="24"/>
        <v>0.70105825296594271</v>
      </c>
      <c r="O194" s="39">
        <f t="shared" si="25"/>
        <v>-2.9617471257518142</v>
      </c>
      <c r="P194" s="39">
        <f t="shared" si="26"/>
        <v>-5.897480115523158</v>
      </c>
      <c r="Q194" s="39">
        <f t="shared" si="30"/>
        <v>-10.715438226309024</v>
      </c>
      <c r="R194" s="40">
        <f t="shared" si="31"/>
        <v>-10.715438226309024</v>
      </c>
      <c r="S194" s="40">
        <f t="shared" si="27"/>
        <v>-13.69277450648088</v>
      </c>
      <c r="T194" s="40" t="e">
        <f t="shared" si="32"/>
        <v>#N/A</v>
      </c>
      <c r="U194" s="39">
        <f t="shared" si="28"/>
        <v>7.4713135307205265</v>
      </c>
      <c r="V194" s="139">
        <f t="shared" si="29"/>
        <v>19.530128248781189</v>
      </c>
    </row>
    <row r="195" spans="1:2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38">
        <f t="shared" si="33"/>
        <v>18.399999999999991</v>
      </c>
      <c r="N195" s="39">
        <f t="shared" si="24"/>
        <v>0.60438837785479593</v>
      </c>
      <c r="O195" s="39">
        <f t="shared" si="25"/>
        <v>-3.2489200297287106</v>
      </c>
      <c r="P195" s="39">
        <f t="shared" si="26"/>
        <v>-5.9846932960729982</v>
      </c>
      <c r="Q195" s="39">
        <f t="shared" si="30"/>
        <v>-11.754414000465669</v>
      </c>
      <c r="R195" s="40">
        <f t="shared" si="31"/>
        <v>-11.754414000465669</v>
      </c>
      <c r="S195" s="40">
        <f t="shared" si="27"/>
        <v>-15.020434719041658</v>
      </c>
      <c r="T195" s="40" t="e">
        <f t="shared" si="32"/>
        <v>#N/A</v>
      </c>
      <c r="U195" s="39">
        <f t="shared" si="28"/>
        <v>6.4410839558237578</v>
      </c>
      <c r="V195" s="139">
        <f t="shared" si="29"/>
        <v>19.530128248781189</v>
      </c>
    </row>
    <row r="196" spans="1:2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38">
        <f t="shared" si="33"/>
        <v>18.499999999999993</v>
      </c>
      <c r="N196" s="39">
        <f t="shared" si="24"/>
        <v>0.51440616301779085</v>
      </c>
      <c r="O196" s="39">
        <f t="shared" si="25"/>
        <v>-3.4286423819122933</v>
      </c>
      <c r="P196" s="39">
        <f t="shared" si="26"/>
        <v>-5.8872700145744616</v>
      </c>
      <c r="Q196" s="39">
        <f t="shared" si="30"/>
        <v>-12.40463958723695</v>
      </c>
      <c r="R196" s="40">
        <f t="shared" si="31"/>
        <v>-12.40463958723695</v>
      </c>
      <c r="S196" s="40">
        <f t="shared" si="27"/>
        <v>-15.851328626501589</v>
      </c>
      <c r="T196" s="40" t="e">
        <f t="shared" si="32"/>
        <v>#N/A</v>
      </c>
      <c r="U196" s="39">
        <f t="shared" si="28"/>
        <v>5.4821260712375581</v>
      </c>
      <c r="V196" s="139">
        <f t="shared" si="29"/>
        <v>19.530128248781189</v>
      </c>
    </row>
    <row r="197" spans="1:2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38">
        <f t="shared" si="33"/>
        <v>18.599999999999994</v>
      </c>
      <c r="N197" s="39">
        <f t="shared" si="24"/>
        <v>0.431485324174813</v>
      </c>
      <c r="O197" s="39">
        <f t="shared" si="25"/>
        <v>-3.5168913065110181</v>
      </c>
      <c r="P197" s="39">
        <f t="shared" si="26"/>
        <v>-5.6487759592709086</v>
      </c>
      <c r="Q197" s="39">
        <f t="shared" si="30"/>
        <v>-12.723919343382844</v>
      </c>
      <c r="R197" s="40">
        <f t="shared" si="31"/>
        <v>-12.723919343382844</v>
      </c>
      <c r="S197" s="40">
        <f t="shared" si="27"/>
        <v>-16.259321805413862</v>
      </c>
      <c r="T197" s="40" t="e">
        <f t="shared" si="32"/>
        <v>#N/A</v>
      </c>
      <c r="U197" s="39">
        <f t="shared" si="28"/>
        <v>4.5984226377422344</v>
      </c>
      <c r="V197" s="139">
        <f t="shared" si="29"/>
        <v>19.530128248781189</v>
      </c>
    </row>
    <row r="198" spans="1:22">
      <c r="M198" s="38">
        <f t="shared" si="33"/>
        <v>18.699999999999996</v>
      </c>
      <c r="N198" s="39">
        <f t="shared" si="24"/>
        <v>0.35581055016178026</v>
      </c>
      <c r="O198" s="39">
        <f t="shared" si="25"/>
        <v>-3.5283924828793194</v>
      </c>
      <c r="P198" s="39">
        <f t="shared" si="26"/>
        <v>-5.3070294952823893</v>
      </c>
      <c r="Q198" s="39">
        <f t="shared" si="30"/>
        <v>-12.765529967001878</v>
      </c>
      <c r="R198" s="40">
        <f t="shared" si="31"/>
        <v>-12.765529967001878</v>
      </c>
      <c r="S198" s="40">
        <f t="shared" si="27"/>
        <v>-16.31249414183689</v>
      </c>
      <c r="T198" s="40" t="e">
        <f t="shared" si="32"/>
        <v>#N/A</v>
      </c>
      <c r="U198" s="39">
        <f t="shared" si="28"/>
        <v>3.7919419200189726</v>
      </c>
      <c r="V198" s="139">
        <f t="shared" si="29"/>
        <v>19.530128248781189</v>
      </c>
    </row>
    <row r="199" spans="1:22">
      <c r="M199" s="38">
        <f t="shared" si="33"/>
        <v>18.799999999999997</v>
      </c>
      <c r="N199" s="39">
        <f t="shared" si="24"/>
        <v>0.28740789269813644</v>
      </c>
      <c r="O199" s="39">
        <f t="shared" si="25"/>
        <v>-3.4765868912368414</v>
      </c>
      <c r="P199" s="39">
        <f t="shared" si="26"/>
        <v>-4.8943292450551761</v>
      </c>
      <c r="Q199" s="39">
        <f t="shared" si="30"/>
        <v>-12.578100185372074</v>
      </c>
      <c r="R199" s="40">
        <f t="shared" si="31"/>
        <v>-12.578100185372074</v>
      </c>
      <c r="S199" s="40">
        <f t="shared" si="27"/>
        <v>-16.072986089860571</v>
      </c>
      <c r="T199" s="40" t="e">
        <f t="shared" si="32"/>
        <v>#N/A</v>
      </c>
      <c r="U199" s="39">
        <f t="shared" si="28"/>
        <v>3.062961556285646</v>
      </c>
      <c r="V199" s="139">
        <f t="shared" si="29"/>
        <v>19.530128248781189</v>
      </c>
    </row>
    <row r="200" spans="1:22">
      <c r="M200" s="38">
        <f t="shared" si="33"/>
        <v>18.899999999999999</v>
      </c>
      <c r="N200" s="39">
        <f t="shared" si="24"/>
        <v>0.22617250924176988</v>
      </c>
      <c r="O200" s="39">
        <f t="shared" si="25"/>
        <v>-3.3736257747171652</v>
      </c>
      <c r="P200" s="39">
        <f t="shared" si="26"/>
        <v>-4.4377837726514686</v>
      </c>
      <c r="Q200" s="39">
        <f t="shared" si="30"/>
        <v>-12.205592527920279</v>
      </c>
      <c r="R200" s="40">
        <f t="shared" si="31"/>
        <v>-12.205592527920279</v>
      </c>
      <c r="S200" s="40">
        <f t="shared" si="27"/>
        <v>-15.596975380107096</v>
      </c>
      <c r="T200" s="40" t="e">
        <f t="shared" si="32"/>
        <v>#N/A</v>
      </c>
      <c r="U200" s="39">
        <f t="shared" si="28"/>
        <v>2.4103642192728585</v>
      </c>
      <c r="V200" s="139">
        <f t="shared" si="29"/>
        <v>19.530128248781189</v>
      </c>
    </row>
    <row r="201" spans="1:22">
      <c r="M201" s="38">
        <f t="shared" si="33"/>
        <v>19</v>
      </c>
      <c r="N201" s="39">
        <f t="shared" ref="N201:N264" si="34">(1/($C$14*$C$15))*(($C$11*10^3/2)/(8*(1/$I$24)^3)*EXP(-(1/$I$24)*ABS(M201-$D$33)*10^3)*(COS(ABS(M201-$D$33)*10^3/$I$24)+SIN(ABS(M201-$D$33)*10^3/$I$24))+($C$10*10^3/2)/(8*(1/$I$24)^3)*EXP(-(1/$I$24)*ABS(M201-$D$32)*10^3)*(COS(ABS(M201-$D$32)*10^3/$I$24)+SIN(ABS(M201-$D$32)*10^3/$I$24)))</f>
        <v>0.17189374768487095</v>
      </c>
      <c r="O201" s="39">
        <f t="shared" ref="O201:O264" si="35">(($C$11*10^3/2)/(4*(1/$I$24))*EXP(-(1/$I$24)*ABS(M201-$D$33)*10^3)*(COS(ABS(M201-$D$33)*10^3/$I$24)-SIN(ABS(M201-$D$33)*10^3/$I$24))+($C$10*10^3/2)/(4*(1/$I$24))*EXP(-(1/$I$24)*ABS(M201-$D$32)*10^3)*(COS(ABS(M201-$D$32)*10^3/$I$24)-SIN(ABS(M201-$D$32)*10^3/$I$24)))*10^-6</f>
        <v>-3.2303888902220352</v>
      </c>
      <c r="P201" s="39">
        <f t="shared" ref="P201:P264" si="36">((Achslast_2_2*10^3*kd_2*kq_2/2)/(4*(1/Lelastisch_2))*EXP(-(1/Lelastisch_2)*ABS(M201-$D$33)*10^3)*(COS(ABS(M201-$D$33)*10^3/Lelastisch_2)-SIN(ABS(M201-$D$33)*10^3/Lelastisch_2))+(Achslast_1_2*10^3*kd_2*kq_2/2)/(4*(1/Lelastisch_2))*EXP(-(1/Lelastisch_2)*ABS(M201-$D$32)*10^3)*(COS(ABS(M201-$D$32)*10^3/Lelastisch_2)-SIN(ABS(M201-$D$32)*10^3/Lelastisch_2)))*10^-6</f>
        <v>-3.9597116607459948</v>
      </c>
      <c r="Q201" s="39">
        <f t="shared" si="30"/>
        <v>-11.6873693568091</v>
      </c>
      <c r="R201" s="40">
        <f t="shared" si="31"/>
        <v>-11.6873693568091</v>
      </c>
      <c r="S201" s="40">
        <f t="shared" ref="S201:S264" si="37">(O201/WSchiene_2)*10^6*(1+3*$D$126*$D$123)</f>
        <v>-14.934761397235484</v>
      </c>
      <c r="T201" s="40" t="e">
        <f t="shared" si="32"/>
        <v>#N/A</v>
      </c>
      <c r="U201" s="39">
        <f t="shared" ref="U201:U264" si="38">$I$22*N201</f>
        <v>1.8319049486842376</v>
      </c>
      <c r="V201" s="139">
        <f t="shared" ref="V201:V264" si="39">MAX($U$9:$U$331)</f>
        <v>19.530128248781189</v>
      </c>
    </row>
    <row r="202" spans="1:22">
      <c r="M202" s="38">
        <f t="shared" si="33"/>
        <v>19.100000000000001</v>
      </c>
      <c r="N202" s="39">
        <f t="shared" si="34"/>
        <v>0.12427760979608737</v>
      </c>
      <c r="O202" s="39">
        <f t="shared" si="35"/>
        <v>-3.0565215919870079</v>
      </c>
      <c r="P202" s="39">
        <f t="shared" si="36"/>
        <v>-3.4780853446979827</v>
      </c>
      <c r="Q202" s="39">
        <f t="shared" ref="Q202:Q265" si="40">O202/$C$16*10^6</f>
        <v>-11.058327033238088</v>
      </c>
      <c r="R202" s="40">
        <f t="shared" ref="R202:R265" si="41">(O202/$C$16)*10^6*(1+3*$D$126*$D$122)</f>
        <v>-11.058327033238088</v>
      </c>
      <c r="S202" s="40">
        <f t="shared" si="37"/>
        <v>-14.130936624997725</v>
      </c>
      <c r="T202" s="40" t="e">
        <f t="shared" si="32"/>
        <v>#N/A</v>
      </c>
      <c r="U202" s="39">
        <f t="shared" si="38"/>
        <v>1.3244505484485334</v>
      </c>
      <c r="V202" s="139">
        <f t="shared" si="39"/>
        <v>19.530128248781189</v>
      </c>
    </row>
    <row r="203" spans="1:22">
      <c r="M203" s="38">
        <f t="shared" si="33"/>
        <v>19.200000000000003</v>
      </c>
      <c r="N203" s="39">
        <f t="shared" si="34"/>
        <v>8.296666926720056E-2</v>
      </c>
      <c r="O203" s="39">
        <f t="shared" si="35"/>
        <v>-2.860486756775392</v>
      </c>
      <c r="P203" s="39">
        <f t="shared" si="36"/>
        <v>-3.0069967557867758</v>
      </c>
      <c r="Q203" s="39">
        <f t="shared" si="40"/>
        <v>-10.349083779939914</v>
      </c>
      <c r="R203" s="40">
        <f t="shared" si="41"/>
        <v>-10.349083779939914</v>
      </c>
      <c r="S203" s="40">
        <f t="shared" si="37"/>
        <v>-13.224626707237134</v>
      </c>
      <c r="T203" s="40" t="e">
        <f t="shared" si="32"/>
        <v>#N/A</v>
      </c>
      <c r="U203" s="39">
        <f t="shared" si="38"/>
        <v>0.88419185719929549</v>
      </c>
      <c r="V203" s="139">
        <f t="shared" si="39"/>
        <v>19.530128248781189</v>
      </c>
    </row>
    <row r="204" spans="1:22">
      <c r="M204" s="38">
        <f t="shared" si="33"/>
        <v>19.300000000000004</v>
      </c>
      <c r="N204" s="39">
        <f t="shared" si="34"/>
        <v>4.755755093504855E-2</v>
      </c>
      <c r="O204" s="39">
        <f t="shared" si="35"/>
        <v>-2.6496280112763406</v>
      </c>
      <c r="P204" s="39">
        <f t="shared" si="36"/>
        <v>-2.5571270819837784</v>
      </c>
      <c r="Q204" s="39">
        <f t="shared" si="40"/>
        <v>-9.5862084344295972</v>
      </c>
      <c r="R204" s="40">
        <f t="shared" si="41"/>
        <v>-9.5862084344295972</v>
      </c>
      <c r="S204" s="40">
        <f t="shared" si="37"/>
        <v>-12.249782761333059</v>
      </c>
      <c r="T204" s="40" t="e">
        <f t="shared" si="32"/>
        <v>#N/A</v>
      </c>
      <c r="U204" s="39">
        <f t="shared" si="38"/>
        <v>0.50683002772698282</v>
      </c>
      <c r="V204" s="139">
        <f t="shared" si="39"/>
        <v>19.530128248781189</v>
      </c>
    </row>
    <row r="205" spans="1:22">
      <c r="M205" s="38">
        <f t="shared" si="33"/>
        <v>19.400000000000006</v>
      </c>
      <c r="N205" s="39">
        <f t="shared" si="34"/>
        <v>1.7616101152922888E-2</v>
      </c>
      <c r="O205" s="39">
        <f t="shared" si="35"/>
        <v>-2.4302411551209624</v>
      </c>
      <c r="P205" s="39">
        <f t="shared" si="36"/>
        <v>-2.1362067574106129</v>
      </c>
      <c r="Q205" s="39">
        <f t="shared" si="40"/>
        <v>-8.792478853549067</v>
      </c>
      <c r="R205" s="40">
        <f t="shared" si="41"/>
        <v>-8.792478853549067</v>
      </c>
      <c r="S205" s="40">
        <f t="shared" si="37"/>
        <v>-11.235511581696544</v>
      </c>
      <c r="T205" s="40" t="e">
        <f t="shared" si="32"/>
        <v>#N/A</v>
      </c>
      <c r="U205" s="39">
        <f t="shared" si="38"/>
        <v>0.18773820056400947</v>
      </c>
      <c r="V205" s="139">
        <f t="shared" si="39"/>
        <v>19.530128248781189</v>
      </c>
    </row>
    <row r="206" spans="1:22">
      <c r="M206" s="38">
        <f t="shared" si="33"/>
        <v>19.500000000000007</v>
      </c>
      <c r="N206" s="39">
        <f t="shared" si="34"/>
        <v>-7.3096037271490159E-3</v>
      </c>
      <c r="O206" s="39">
        <f t="shared" si="35"/>
        <v>-2.2076510827773363</v>
      </c>
      <c r="P206" s="39">
        <f t="shared" si="36"/>
        <v>-1.7494551362467072</v>
      </c>
      <c r="Q206" s="39">
        <f t="shared" si="40"/>
        <v>-7.98716021265317</v>
      </c>
      <c r="R206" s="40">
        <f t="shared" si="41"/>
        <v>-7.98716021265317</v>
      </c>
      <c r="S206" s="40">
        <f t="shared" si="37"/>
        <v>-10.20643126572971</v>
      </c>
      <c r="T206" s="40" t="e">
        <f t="shared" si="32"/>
        <v>#N/A</v>
      </c>
      <c r="U206" s="39">
        <f t="shared" si="38"/>
        <v>-7.7899862101055234E-2</v>
      </c>
      <c r="V206" s="139">
        <f t="shared" si="39"/>
        <v>19.530128248781189</v>
      </c>
    </row>
    <row r="207" spans="1:22">
      <c r="M207" s="38">
        <f t="shared" si="33"/>
        <v>19.600000000000009</v>
      </c>
      <c r="N207" s="39">
        <f t="shared" si="34"/>
        <v>-2.7678252383481244E-2</v>
      </c>
      <c r="O207" s="39">
        <f t="shared" si="35"/>
        <v>-1.9862918914113696</v>
      </c>
      <c r="P207" s="39">
        <f t="shared" si="36"/>
        <v>-1.3999922023296401</v>
      </c>
      <c r="Q207" s="39">
        <f t="shared" si="40"/>
        <v>-7.1862948314448971</v>
      </c>
      <c r="R207" s="40">
        <f t="shared" si="41"/>
        <v>-7.1862948314448971</v>
      </c>
      <c r="S207" s="40">
        <f t="shared" si="37"/>
        <v>-9.1830415691695304</v>
      </c>
      <c r="T207" s="40" t="e">
        <f t="shared" si="32"/>
        <v>#N/A</v>
      </c>
      <c r="U207" s="39">
        <f t="shared" si="38"/>
        <v>-0.2949724943177397</v>
      </c>
      <c r="V207" s="139">
        <f t="shared" si="39"/>
        <v>19.530128248781189</v>
      </c>
    </row>
    <row r="208" spans="1:22">
      <c r="M208" s="38">
        <f t="shared" si="33"/>
        <v>19.70000000000001</v>
      </c>
      <c r="N208" s="39">
        <f t="shared" si="34"/>
        <v>-4.3946132050021292E-2</v>
      </c>
      <c r="O208" s="39">
        <f t="shared" si="35"/>
        <v>-1.7697882175662922</v>
      </c>
      <c r="P208" s="39">
        <f t="shared" si="36"/>
        <v>-1.0892171314778702</v>
      </c>
      <c r="Q208" s="39">
        <f t="shared" si="40"/>
        <v>-6.4029964456088715</v>
      </c>
      <c r="R208" s="40">
        <f t="shared" si="41"/>
        <v>-6.4029964456088715</v>
      </c>
      <c r="S208" s="40">
        <f t="shared" si="37"/>
        <v>-8.1820999425163752</v>
      </c>
      <c r="T208" s="40" t="e">
        <f t="shared" si="32"/>
        <v>#N/A</v>
      </c>
      <c r="U208" s="39">
        <f t="shared" si="38"/>
        <v>-0.46834243747802445</v>
      </c>
      <c r="V208" s="139">
        <f t="shared" si="39"/>
        <v>19.530128248781189</v>
      </c>
    </row>
    <row r="209" spans="13:22">
      <c r="M209" s="38">
        <f t="shared" si="33"/>
        <v>19.800000000000011</v>
      </c>
      <c r="N209" s="39">
        <f t="shared" si="34"/>
        <v>-5.6559632930126787E-2</v>
      </c>
      <c r="O209" s="39">
        <f t="shared" si="35"/>
        <v>-1.5610361720291315</v>
      </c>
      <c r="P209" s="39">
        <f t="shared" si="36"/>
        <v>-0.81715058666394325</v>
      </c>
      <c r="Q209" s="39">
        <f t="shared" si="40"/>
        <v>-5.6477430247074221</v>
      </c>
      <c r="R209" s="40">
        <f t="shared" si="41"/>
        <v>-5.6477430247074221</v>
      </c>
      <c r="S209" s="40">
        <f t="shared" si="37"/>
        <v>-7.2169957097971871</v>
      </c>
      <c r="T209" s="40" t="e">
        <f t="shared" si="32"/>
        <v>#N/A</v>
      </c>
      <c r="U209" s="39">
        <f t="shared" si="38"/>
        <v>-0.60276695840277217</v>
      </c>
      <c r="V209" s="139">
        <f t="shared" si="39"/>
        <v>19.530128248781189</v>
      </c>
    </row>
    <row r="210" spans="13:22">
      <c r="M210" s="38">
        <f t="shared" si="33"/>
        <v>19.900000000000013</v>
      </c>
      <c r="N210" s="39">
        <f t="shared" si="34"/>
        <v>-6.5949256669430148E-2</v>
      </c>
      <c r="O210" s="39">
        <f t="shared" si="35"/>
        <v>-1.3622825390475846</v>
      </c>
      <c r="P210" s="39">
        <f t="shared" si="36"/>
        <v>-0.58273931872916918</v>
      </c>
      <c r="Q210" s="39">
        <f t="shared" si="40"/>
        <v>-4.9286633105918396</v>
      </c>
      <c r="R210" s="40">
        <f t="shared" si="41"/>
        <v>-4.9286633105918396</v>
      </c>
      <c r="S210" s="40">
        <f t="shared" si="37"/>
        <v>-6.2981162230586438</v>
      </c>
      <c r="T210" s="40" t="e">
        <f t="shared" si="32"/>
        <v>#N/A</v>
      </c>
      <c r="U210" s="39">
        <f t="shared" si="38"/>
        <v>-0.70283399647705314</v>
      </c>
      <c r="V210" s="139">
        <f t="shared" si="39"/>
        <v>19.530128248781189</v>
      </c>
    </row>
    <row r="211" spans="13:22">
      <c r="M211" s="38">
        <f t="shared" si="33"/>
        <v>20.000000000000014</v>
      </c>
      <c r="N211" s="39">
        <f t="shared" si="34"/>
        <v>-7.2524965595014507E-2</v>
      </c>
      <c r="O211" s="39">
        <f t="shared" si="35"/>
        <v>-1.175201173264212</v>
      </c>
      <c r="P211" s="39">
        <f t="shared" si="36"/>
        <v>-0.38412300262846127</v>
      </c>
      <c r="Q211" s="39">
        <f t="shared" si="40"/>
        <v>-4.2518132173090155</v>
      </c>
      <c r="R211" s="40">
        <f t="shared" si="41"/>
        <v>-4.2518132173090155</v>
      </c>
      <c r="S211" s="40">
        <f t="shared" si="37"/>
        <v>-5.4332000613232179</v>
      </c>
      <c r="T211" s="40" t="e">
        <f t="shared" ref="T211:T274" si="42">IF(N211=MAX($N$9:$N$331),N211,#N/A)</f>
        <v>#N/A</v>
      </c>
      <c r="U211" s="39">
        <f t="shared" si="38"/>
        <v>-0.77291259959162883</v>
      </c>
      <c r="V211" s="139">
        <f t="shared" si="39"/>
        <v>19.530128248781189</v>
      </c>
    </row>
    <row r="212" spans="13:22">
      <c r="M212" s="38">
        <f t="shared" si="33"/>
        <v>20.100000000000016</v>
      </c>
      <c r="N212" s="39">
        <f t="shared" si="34"/>
        <v>-7.6672715171379607E-2</v>
      </c>
      <c r="O212" s="39">
        <f t="shared" si="35"/>
        <v>-1.0009657659670872</v>
      </c>
      <c r="P212" s="39">
        <f t="shared" si="36"/>
        <v>-0.21886429795086373</v>
      </c>
      <c r="Q212" s="39">
        <f t="shared" si="40"/>
        <v>-3.6214390953946713</v>
      </c>
      <c r="R212" s="40">
        <f t="shared" si="41"/>
        <v>-3.6214390953946713</v>
      </c>
      <c r="S212" s="40">
        <f t="shared" si="37"/>
        <v>-4.6276734441381739</v>
      </c>
      <c r="T212" s="40" t="e">
        <f t="shared" si="42"/>
        <v>#N/A</v>
      </c>
      <c r="U212" s="39">
        <f t="shared" si="38"/>
        <v>-0.8171159698548448</v>
      </c>
      <c r="V212" s="139">
        <f t="shared" si="39"/>
        <v>19.530128248781189</v>
      </c>
    </row>
    <row r="213" spans="13:22">
      <c r="M213" s="38">
        <f t="shared" si="33"/>
        <v>20.200000000000017</v>
      </c>
      <c r="N213" s="39">
        <f t="shared" si="34"/>
        <v>-7.8752019581648777E-2</v>
      </c>
      <c r="O213" s="39">
        <f t="shared" si="35"/>
        <v>-0.84031836252952463</v>
      </c>
      <c r="P213" s="39">
        <f t="shared" si="36"/>
        <v>-8.4143919518849919E-2</v>
      </c>
      <c r="Q213" s="39">
        <f t="shared" si="40"/>
        <v>-3.0402256242023324</v>
      </c>
      <c r="R213" s="40">
        <f t="shared" si="41"/>
        <v>-3.0402256242023324</v>
      </c>
      <c r="S213" s="40">
        <f t="shared" si="37"/>
        <v>-3.8849670019857823</v>
      </c>
      <c r="T213" s="40" t="e">
        <f t="shared" si="42"/>
        <v>#N/A</v>
      </c>
      <c r="U213" s="39">
        <f t="shared" si="38"/>
        <v>-0.8392755195202356</v>
      </c>
      <c r="V213" s="139">
        <f t="shared" si="39"/>
        <v>19.530128248781189</v>
      </c>
    </row>
    <row r="214" spans="13:22">
      <c r="M214" s="38">
        <f t="shared" si="33"/>
        <v>20.300000000000018</v>
      </c>
      <c r="N214" s="39">
        <f t="shared" si="34"/>
        <v>-7.9094409080919831E-2</v>
      </c>
      <c r="O214" s="39">
        <f t="shared" si="35"/>
        <v>-0.69363319654477795</v>
      </c>
      <c r="P214" s="39">
        <f t="shared" si="36"/>
        <v>2.3076924856982123E-2</v>
      </c>
      <c r="Q214" s="39">
        <f t="shared" si="40"/>
        <v>-2.5095267602922502</v>
      </c>
      <c r="R214" s="40">
        <f t="shared" si="41"/>
        <v>-2.5095267602922502</v>
      </c>
      <c r="S214" s="40">
        <f t="shared" si="37"/>
        <v>-3.2068108947978637</v>
      </c>
      <c r="T214" s="40" t="e">
        <f t="shared" si="42"/>
        <v>#N/A</v>
      </c>
      <c r="U214" s="39">
        <f t="shared" si="38"/>
        <v>-0.84292443070252043</v>
      </c>
      <c r="V214" s="139">
        <f t="shared" si="39"/>
        <v>19.530128248781189</v>
      </c>
    </row>
    <row r="215" spans="13:22">
      <c r="M215" s="38">
        <f t="shared" si="33"/>
        <v>20.40000000000002</v>
      </c>
      <c r="N215" s="39">
        <f t="shared" si="34"/>
        <v>-7.8002647408264708E-2</v>
      </c>
      <c r="O215" s="39">
        <f t="shared" si="35"/>
        <v>-0.56097556470096066</v>
      </c>
      <c r="P215" s="39">
        <f t="shared" si="36"/>
        <v>0.10592399269976942</v>
      </c>
      <c r="Q215" s="39">
        <f t="shared" si="40"/>
        <v>-2.0295787434911747</v>
      </c>
      <c r="R215" s="40">
        <f t="shared" si="41"/>
        <v>-2.0295787434911747</v>
      </c>
      <c r="S215" s="40">
        <f t="shared" si="37"/>
        <v>-2.5935070027783667</v>
      </c>
      <c r="T215" s="40" t="e">
        <f t="shared" si="42"/>
        <v>#N/A</v>
      </c>
      <c r="U215" s="39">
        <f t="shared" si="38"/>
        <v>-0.83128931518576954</v>
      </c>
      <c r="V215" s="139">
        <f t="shared" si="39"/>
        <v>19.530128248781189</v>
      </c>
    </row>
    <row r="216" spans="13:22">
      <c r="M216" s="38">
        <f t="shared" si="33"/>
        <v>20.500000000000021</v>
      </c>
      <c r="N216" s="39">
        <f t="shared" si="34"/>
        <v>-7.5750587757118029E-2</v>
      </c>
      <c r="O216" s="39">
        <f t="shared" si="35"/>
        <v>-0.44215560159439088</v>
      </c>
      <c r="P216" s="39">
        <f t="shared" si="36"/>
        <v>0.16750440446473688</v>
      </c>
      <c r="Q216" s="39">
        <f t="shared" si="40"/>
        <v>-1.5996946512098078</v>
      </c>
      <c r="R216" s="40">
        <f t="shared" si="41"/>
        <v>-1.5996946512098078</v>
      </c>
      <c r="S216" s="40">
        <f t="shared" si="37"/>
        <v>-2.0441775385778591</v>
      </c>
      <c r="T216" s="40" t="e">
        <f t="shared" si="42"/>
        <v>#N/A</v>
      </c>
      <c r="U216" s="39">
        <f t="shared" si="38"/>
        <v>-0.8072886794719506</v>
      </c>
      <c r="V216" s="139">
        <f t="shared" si="39"/>
        <v>19.530128248781189</v>
      </c>
    </row>
    <row r="217" spans="13:22">
      <c r="M217" s="38">
        <f t="shared" si="33"/>
        <v>20.600000000000023</v>
      </c>
      <c r="N217" s="39">
        <f t="shared" si="34"/>
        <v>-7.2583556311367772E-2</v>
      </c>
      <c r="O217" s="39">
        <f t="shared" si="35"/>
        <v>-0.33677692725590153</v>
      </c>
      <c r="P217" s="39">
        <f t="shared" si="36"/>
        <v>0.21082493397475402</v>
      </c>
      <c r="Q217" s="39">
        <f t="shared" si="40"/>
        <v>-1.2184404025177336</v>
      </c>
      <c r="R217" s="40">
        <f t="shared" si="41"/>
        <v>-1.2184404025177336</v>
      </c>
      <c r="S217" s="40">
        <f t="shared" si="37"/>
        <v>-1.5569899549510011</v>
      </c>
      <c r="T217" s="40" t="e">
        <f t="shared" si="42"/>
        <v>#N/A</v>
      </c>
      <c r="U217" s="39">
        <f t="shared" si="38"/>
        <v>-0.77353701219930127</v>
      </c>
      <c r="V217" s="139">
        <f t="shared" si="39"/>
        <v>19.530128248781189</v>
      </c>
    </row>
    <row r="218" spans="13:22">
      <c r="M218" s="38">
        <f t="shared" si="33"/>
        <v>20.700000000000024</v>
      </c>
      <c r="N218" s="39">
        <f t="shared" si="34"/>
        <v>-6.8719162921624721E-2</v>
      </c>
      <c r="O218" s="39">
        <f t="shared" si="35"/>
        <v>-0.24428023402740653</v>
      </c>
      <c r="P218" s="39">
        <f t="shared" si="36"/>
        <v>0.23873115961776012</v>
      </c>
      <c r="Q218" s="39">
        <f t="shared" si="40"/>
        <v>-0.88379245306587018</v>
      </c>
      <c r="R218" s="40">
        <f t="shared" si="41"/>
        <v>-0.88379245306587018</v>
      </c>
      <c r="S218" s="40">
        <f t="shared" si="37"/>
        <v>-1.1293584559750649</v>
      </c>
      <c r="T218" s="40" t="e">
        <f t="shared" si="42"/>
        <v>#N/A</v>
      </c>
      <c r="U218" s="39">
        <f t="shared" si="38"/>
        <v>-0.73235342367628475</v>
      </c>
      <c r="V218" s="139">
        <f t="shared" si="39"/>
        <v>19.530128248781189</v>
      </c>
    </row>
    <row r="219" spans="13:22">
      <c r="M219" s="38">
        <f t="shared" si="33"/>
        <v>20.800000000000026</v>
      </c>
      <c r="N219" s="39">
        <f t="shared" si="34"/>
        <v>-6.4348448928828517E-2</v>
      </c>
      <c r="O219" s="39">
        <f t="shared" si="35"/>
        <v>-0.16398195544912428</v>
      </c>
      <c r="P219" s="39">
        <f t="shared" si="36"/>
        <v>0.25386453917703794</v>
      </c>
      <c r="Q219" s="39">
        <f t="shared" si="40"/>
        <v>-0.5932776969939374</v>
      </c>
      <c r="R219" s="40">
        <f t="shared" si="41"/>
        <v>-0.5932776969939374</v>
      </c>
      <c r="S219" s="40">
        <f t="shared" si="37"/>
        <v>-0.75812277137829076</v>
      </c>
      <c r="T219" s="40" t="e">
        <f t="shared" si="42"/>
        <v>#N/A</v>
      </c>
      <c r="U219" s="39">
        <f t="shared" si="38"/>
        <v>-0.68577387845998417</v>
      </c>
      <c r="V219" s="139">
        <f t="shared" si="39"/>
        <v>19.530128248781189</v>
      </c>
    </row>
    <row r="220" spans="13:22">
      <c r="M220" s="38">
        <f t="shared" si="33"/>
        <v>20.900000000000027</v>
      </c>
      <c r="N220" s="39">
        <f t="shared" si="34"/>
        <v>-5.9637292283317621E-2</v>
      </c>
      <c r="O220" s="39">
        <f t="shared" si="35"/>
        <v>-9.5108219852143613E-2</v>
      </c>
      <c r="P220" s="39">
        <f t="shared" si="36"/>
        <v>0.25863462623199085</v>
      </c>
      <c r="Q220" s="39">
        <f t="shared" si="40"/>
        <v>-0.34409630916115636</v>
      </c>
      <c r="R220" s="40">
        <f t="shared" si="41"/>
        <v>-0.34409630916115636</v>
      </c>
      <c r="S220" s="40">
        <f t="shared" si="37"/>
        <v>-0.43970513107787151</v>
      </c>
      <c r="T220" s="40" t="e">
        <f t="shared" si="42"/>
        <v>#N/A</v>
      </c>
      <c r="U220" s="39">
        <f t="shared" si="38"/>
        <v>-0.63556616998207061</v>
      </c>
      <c r="V220" s="139">
        <f t="shared" si="39"/>
        <v>19.530128248781189</v>
      </c>
    </row>
    <row r="221" spans="13:22">
      <c r="M221" s="38">
        <f t="shared" si="33"/>
        <v>21.000000000000028</v>
      </c>
      <c r="N221" s="39">
        <f t="shared" si="34"/>
        <v>-5.472799983251006E-2</v>
      </c>
      <c r="O221" s="39">
        <f t="shared" si="35"/>
        <v>-3.6824337195805877E-2</v>
      </c>
      <c r="P221" s="39">
        <f t="shared" si="36"/>
        <v>0.25520384366102877</v>
      </c>
      <c r="Q221" s="39">
        <f t="shared" si="40"/>
        <v>-0.13322842690233674</v>
      </c>
      <c r="R221" s="40">
        <f t="shared" si="41"/>
        <v>-0.13322842690233674</v>
      </c>
      <c r="S221" s="40">
        <f t="shared" si="37"/>
        <v>-0.17024658897737344</v>
      </c>
      <c r="T221" s="40" t="e">
        <f t="shared" si="42"/>
        <v>#N/A</v>
      </c>
      <c r="U221" s="39">
        <f t="shared" si="38"/>
        <v>-0.58324688986689233</v>
      </c>
      <c r="V221" s="139">
        <f t="shared" si="39"/>
        <v>19.530128248781189</v>
      </c>
    </row>
    <row r="222" spans="13:22">
      <c r="M222" s="38">
        <f t="shared" si="33"/>
        <v>21.10000000000003</v>
      </c>
      <c r="N222" s="39">
        <f t="shared" si="34"/>
        <v>-4.9741025864494789E-2</v>
      </c>
      <c r="O222" s="39">
        <f t="shared" si="35"/>
        <v>1.1739898929292026E-2</v>
      </c>
      <c r="P222" s="39">
        <f t="shared" si="36"/>
        <v>0.24548245502622698</v>
      </c>
      <c r="Q222" s="39">
        <f t="shared" si="40"/>
        <v>4.247430871668606E-2</v>
      </c>
      <c r="R222" s="40">
        <f t="shared" si="41"/>
        <v>4.247430871668606E-2</v>
      </c>
      <c r="S222" s="40">
        <f t="shared" si="37"/>
        <v>5.4276000597743991E-2</v>
      </c>
      <c r="T222" s="40" t="e">
        <f t="shared" si="42"/>
        <v>#N/A</v>
      </c>
      <c r="U222" s="39">
        <f t="shared" si="38"/>
        <v>-0.53009974278324823</v>
      </c>
      <c r="V222" s="139">
        <f t="shared" si="39"/>
        <v>19.530128248781189</v>
      </c>
    </row>
    <row r="223" spans="13:22">
      <c r="M223" s="38">
        <f t="shared" si="33"/>
        <v>21.200000000000031</v>
      </c>
      <c r="N223" s="39">
        <f t="shared" si="34"/>
        <v>-4.4776764628931875E-2</v>
      </c>
      <c r="O223" s="39">
        <f t="shared" si="35"/>
        <v>5.1468789658501365E-2</v>
      </c>
      <c r="P223" s="39">
        <f t="shared" si="36"/>
        <v>0.23113161517701161</v>
      </c>
      <c r="Q223" s="39">
        <f t="shared" si="40"/>
        <v>0.18621125057344923</v>
      </c>
      <c r="R223" s="40">
        <f t="shared" si="41"/>
        <v>0.18621125057344923</v>
      </c>
      <c r="S223" s="40">
        <f t="shared" si="37"/>
        <v>0.23795094617892448</v>
      </c>
      <c r="T223" s="40" t="e">
        <f t="shared" si="42"/>
        <v>#N/A</v>
      </c>
      <c r="U223" s="39">
        <f t="shared" si="38"/>
        <v>-0.47719464968666297</v>
      </c>
      <c r="V223" s="139">
        <f t="shared" si="39"/>
        <v>19.530128248781189</v>
      </c>
    </row>
    <row r="224" spans="13:22">
      <c r="M224" s="38">
        <f t="shared" si="33"/>
        <v>21.300000000000033</v>
      </c>
      <c r="N224" s="39">
        <f t="shared" si="34"/>
        <v>-3.991737256388532E-2</v>
      </c>
      <c r="O224" s="39">
        <f t="shared" si="35"/>
        <v>8.3242871837954813E-2</v>
      </c>
      <c r="P224" s="39">
        <f t="shared" si="36"/>
        <v>0.21357262724258383</v>
      </c>
      <c r="Q224" s="39">
        <f t="shared" si="40"/>
        <v>0.30116813255410568</v>
      </c>
      <c r="R224" s="40">
        <f t="shared" si="41"/>
        <v>0.30116813255410568</v>
      </c>
      <c r="S224" s="40">
        <f t="shared" si="37"/>
        <v>0.38484915320367458</v>
      </c>
      <c r="T224" s="40" t="e">
        <f t="shared" si="42"/>
        <v>#N/A</v>
      </c>
      <c r="U224" s="39">
        <f t="shared" si="38"/>
        <v>-0.42540716764353803</v>
      </c>
      <c r="V224" s="139">
        <f t="shared" si="39"/>
        <v>19.530128248781189</v>
      </c>
    </row>
    <row r="225" spans="13:22">
      <c r="M225" s="38">
        <f t="shared" si="33"/>
        <v>21.400000000000034</v>
      </c>
      <c r="N225" s="39">
        <f t="shared" si="34"/>
        <v>-3.5228583309958643E-2</v>
      </c>
      <c r="O225" s="39">
        <f t="shared" si="35"/>
        <v>0.10792429851926132</v>
      </c>
      <c r="P225" s="39">
        <f t="shared" si="36"/>
        <v>0.19400077633116783</v>
      </c>
      <c r="Q225" s="39">
        <f t="shared" si="40"/>
        <v>0.39046417698719721</v>
      </c>
      <c r="R225" s="40">
        <f t="shared" si="41"/>
        <v>0.39046417698719721</v>
      </c>
      <c r="S225" s="40">
        <f t="shared" si="37"/>
        <v>0.49895653499427328</v>
      </c>
      <c r="T225" s="40" t="e">
        <f t="shared" si="42"/>
        <v>#N/A</v>
      </c>
      <c r="U225" s="39">
        <f t="shared" si="38"/>
        <v>-0.37543783278819159</v>
      </c>
      <c r="V225" s="139">
        <f t="shared" si="39"/>
        <v>19.530128248781189</v>
      </c>
    </row>
    <row r="226" spans="13:22">
      <c r="M226" s="38">
        <f t="shared" si="33"/>
        <v>21.500000000000036</v>
      </c>
      <c r="N226" s="39">
        <f t="shared" si="34"/>
        <v>-3.0761485280024238E-2</v>
      </c>
      <c r="O226" s="39">
        <f t="shared" si="35"/>
        <v>0.12634513702843286</v>
      </c>
      <c r="P226" s="39">
        <f t="shared" si="36"/>
        <v>0.17340234459557372</v>
      </c>
      <c r="Q226" s="39">
        <f t="shared" si="40"/>
        <v>0.45710975770055307</v>
      </c>
      <c r="R226" s="40">
        <f t="shared" si="41"/>
        <v>0.45710975770055307</v>
      </c>
      <c r="S226" s="40">
        <f t="shared" si="37"/>
        <v>0.58411991229048943</v>
      </c>
      <c r="T226" s="40" t="e">
        <f t="shared" si="42"/>
        <v>#N/A</v>
      </c>
      <c r="U226" s="39">
        <f t="shared" si="38"/>
        <v>-0.3278311042276118</v>
      </c>
      <c r="V226" s="139">
        <f t="shared" si="39"/>
        <v>19.530128248781189</v>
      </c>
    </row>
    <row r="227" spans="13:22">
      <c r="M227" s="38">
        <f t="shared" si="33"/>
        <v>21.600000000000037</v>
      </c>
      <c r="N227" s="39">
        <f t="shared" si="34"/>
        <v>-2.6554237576175529E-2</v>
      </c>
      <c r="O227" s="39">
        <f t="shared" si="35"/>
        <v>0.13929826923513522</v>
      </c>
      <c r="P227" s="39">
        <f t="shared" si="36"/>
        <v>0.15257363333490606</v>
      </c>
      <c r="Q227" s="39">
        <f t="shared" si="40"/>
        <v>0.50397347769585821</v>
      </c>
      <c r="R227" s="40">
        <f t="shared" si="41"/>
        <v>0.50397347769585821</v>
      </c>
      <c r="S227" s="40">
        <f t="shared" si="37"/>
        <v>0.64400494329697289</v>
      </c>
      <c r="T227" s="40" t="e">
        <f t="shared" si="42"/>
        <v>#N/A</v>
      </c>
      <c r="U227" s="39">
        <f t="shared" si="38"/>
        <v>-0.28299365090062734</v>
      </c>
      <c r="V227" s="139">
        <f t="shared" si="39"/>
        <v>19.530128248781189</v>
      </c>
    </row>
    <row r="228" spans="13:22">
      <c r="M228" s="38">
        <f t="shared" si="33"/>
        <v>21.700000000000038</v>
      </c>
      <c r="N228" s="39">
        <f t="shared" si="34"/>
        <v>-2.2633705418637046E-2</v>
      </c>
      <c r="O228" s="39">
        <f t="shared" si="35"/>
        <v>0.14753058951961068</v>
      </c>
      <c r="P228" s="39">
        <f t="shared" si="36"/>
        <v>0.13214102232722771</v>
      </c>
      <c r="Q228" s="39">
        <f t="shared" si="40"/>
        <v>0.53375755976704298</v>
      </c>
      <c r="R228" s="40">
        <f t="shared" si="41"/>
        <v>0.53375755976704298</v>
      </c>
      <c r="S228" s="40">
        <f t="shared" si="37"/>
        <v>0.68206467646606872</v>
      </c>
      <c r="T228" s="40" t="e">
        <f t="shared" si="42"/>
        <v>#N/A</v>
      </c>
      <c r="U228" s="39">
        <f t="shared" si="38"/>
        <v>-0.24121178066043034</v>
      </c>
      <c r="V228" s="139">
        <f t="shared" si="39"/>
        <v>19.530128248781189</v>
      </c>
    </row>
    <row r="229" spans="13:22">
      <c r="M229" s="38">
        <f t="shared" si="33"/>
        <v>21.80000000000004</v>
      </c>
      <c r="N229" s="39">
        <f t="shared" si="34"/>
        <v>-1.9017000996529566E-2</v>
      </c>
      <c r="O229" s="39">
        <f t="shared" si="35"/>
        <v>0.15173821016066902</v>
      </c>
      <c r="P229" s="39">
        <f t="shared" si="36"/>
        <v>0.1125812826269989</v>
      </c>
      <c r="Q229" s="39">
        <f t="shared" si="40"/>
        <v>0.5489804998577027</v>
      </c>
      <c r="R229" s="40">
        <f t="shared" si="41"/>
        <v>0.5489804998577027</v>
      </c>
      <c r="S229" s="40">
        <f t="shared" si="37"/>
        <v>0.70151738400679153</v>
      </c>
      <c r="T229" s="40" t="e">
        <f t="shared" si="42"/>
        <v>#N/A</v>
      </c>
      <c r="U229" s="39">
        <f t="shared" si="38"/>
        <v>-0.20266786141949805</v>
      </c>
      <c r="V229" s="139">
        <f t="shared" si="39"/>
        <v>19.530128248781189</v>
      </c>
    </row>
    <row r="230" spans="13:22">
      <c r="M230" s="38">
        <f t="shared" si="33"/>
        <v>21.900000000000041</v>
      </c>
      <c r="N230" s="39">
        <f t="shared" si="34"/>
        <v>-1.5712919796808798E-2</v>
      </c>
      <c r="O230" s="39">
        <f t="shared" si="35"/>
        <v>0.15256340060577134</v>
      </c>
      <c r="P230" s="39">
        <f t="shared" si="36"/>
        <v>9.4241525567139259E-2</v>
      </c>
      <c r="Q230" s="39">
        <f t="shared" si="40"/>
        <v>0.55196599350857944</v>
      </c>
      <c r="R230" s="40">
        <f t="shared" si="41"/>
        <v>0.55196599350857944</v>
      </c>
      <c r="S230" s="40">
        <f t="shared" si="37"/>
        <v>0.70533241149223924</v>
      </c>
      <c r="T230" s="40" t="e">
        <f t="shared" si="42"/>
        <v>#N/A</v>
      </c>
      <c r="U230" s="39">
        <f t="shared" si="38"/>
        <v>-0.16745562838517369</v>
      </c>
      <c r="V230" s="139">
        <f t="shared" si="39"/>
        <v>19.530128248781189</v>
      </c>
    </row>
    <row r="231" spans="13:22">
      <c r="M231" s="38">
        <f t="shared" si="33"/>
        <v>22.000000000000043</v>
      </c>
      <c r="N231" s="39">
        <f t="shared" si="34"/>
        <v>-1.2723266049815692E-2</v>
      </c>
      <c r="O231" s="39">
        <f t="shared" si="35"/>
        <v>0.15059300559638106</v>
      </c>
      <c r="P231" s="39">
        <f t="shared" si="36"/>
        <v>7.735831740297483E-2</v>
      </c>
      <c r="Q231" s="39">
        <f t="shared" si="40"/>
        <v>0.54483721272207331</v>
      </c>
      <c r="R231" s="40">
        <f t="shared" si="41"/>
        <v>0.54483721272207331</v>
      </c>
      <c r="S231" s="40">
        <f t="shared" si="37"/>
        <v>0.69622286452325965</v>
      </c>
      <c r="T231" s="40" t="e">
        <f t="shared" si="42"/>
        <v>#N/A</v>
      </c>
      <c r="U231" s="39">
        <f t="shared" si="38"/>
        <v>-0.13559430958951005</v>
      </c>
      <c r="V231" s="139">
        <f t="shared" si="39"/>
        <v>19.530128248781189</v>
      </c>
    </row>
    <row r="232" spans="13:22">
      <c r="M232" s="38">
        <f t="shared" si="33"/>
        <v>22.100000000000044</v>
      </c>
      <c r="N232" s="39">
        <f t="shared" si="34"/>
        <v>-1.0044063985779679E-2</v>
      </c>
      <c r="O232" s="39">
        <f t="shared" si="35"/>
        <v>0.1463581067716532</v>
      </c>
      <c r="P232" s="39">
        <f t="shared" si="36"/>
        <v>6.2075616256724496E-2</v>
      </c>
      <c r="Q232" s="39">
        <f t="shared" si="40"/>
        <v>0.52951558166299995</v>
      </c>
      <c r="R232" s="40">
        <f t="shared" si="41"/>
        <v>0.52951558166299995</v>
      </c>
      <c r="S232" s="40">
        <f t="shared" si="37"/>
        <v>0.67664404425174851</v>
      </c>
      <c r="T232" s="40" t="e">
        <f t="shared" si="42"/>
        <v>#N/A</v>
      </c>
      <c r="U232" s="39">
        <f t="shared" si="38"/>
        <v>-0.1070415344843305</v>
      </c>
      <c r="V232" s="139">
        <f t="shared" si="39"/>
        <v>19.530128248781189</v>
      </c>
    </row>
    <row r="233" spans="13:22">
      <c r="M233" s="38">
        <f t="shared" si="33"/>
        <v>22.200000000000045</v>
      </c>
      <c r="N233" s="39">
        <f t="shared" si="34"/>
        <v>-7.6666541667822089E-3</v>
      </c>
      <c r="O233" s="39">
        <f t="shared" si="35"/>
        <v>0.14033471261777444</v>
      </c>
      <c r="P233" s="39">
        <f t="shared" si="36"/>
        <v>4.8461296563586671E-2</v>
      </c>
      <c r="Q233" s="39">
        <f t="shared" si="40"/>
        <v>0.50772327285736041</v>
      </c>
      <c r="R233" s="40">
        <f t="shared" si="41"/>
        <v>0.50772327285736041</v>
      </c>
      <c r="S233" s="40">
        <f t="shared" si="37"/>
        <v>0.64879663716030711</v>
      </c>
      <c r="T233" s="40" t="e">
        <f t="shared" si="42"/>
        <v>#N/A</v>
      </c>
      <c r="U233" s="39">
        <f t="shared" si="38"/>
        <v>-8.17050177632207E-2</v>
      </c>
      <c r="V233" s="139">
        <f t="shared" si="39"/>
        <v>19.530128248781189</v>
      </c>
    </row>
    <row r="234" spans="13:22">
      <c r="M234" s="38">
        <f t="shared" si="33"/>
        <v>22.300000000000047</v>
      </c>
      <c r="N234" s="39">
        <f t="shared" si="34"/>
        <v>-5.5786762848150703E-3</v>
      </c>
      <c r="O234" s="39">
        <f t="shared" si="35"/>
        <v>0.13294528201169953</v>
      </c>
      <c r="P234" s="39">
        <f t="shared" si="36"/>
        <v>3.6522117220458006E-2</v>
      </c>
      <c r="Q234" s="39">
        <f t="shared" si="40"/>
        <v>0.4809887192897957</v>
      </c>
      <c r="R234" s="40">
        <f t="shared" si="41"/>
        <v>0.4809887192897957</v>
      </c>
      <c r="S234" s="40">
        <f t="shared" si="37"/>
        <v>0.61463375872260539</v>
      </c>
      <c r="T234" s="40" t="e">
        <f t="shared" si="42"/>
        <v>#N/A</v>
      </c>
      <c r="U234" s="39">
        <f t="shared" si="38"/>
        <v>-5.945303323071123E-2</v>
      </c>
      <c r="V234" s="139">
        <f t="shared" si="39"/>
        <v>19.530128248781189</v>
      </c>
    </row>
    <row r="235" spans="13:22">
      <c r="M235" s="38">
        <f t="shared" si="33"/>
        <v>22.400000000000048</v>
      </c>
      <c r="N235" s="39">
        <f t="shared" si="34"/>
        <v>-3.7649415406682198E-3</v>
      </c>
      <c r="O235" s="39">
        <f t="shared" si="35"/>
        <v>0.12456090674843286</v>
      </c>
      <c r="P235" s="39">
        <f t="shared" si="36"/>
        <v>2.6217064465465838E-2</v>
      </c>
      <c r="Q235" s="39">
        <f t="shared" si="40"/>
        <v>0.45065451066726792</v>
      </c>
      <c r="R235" s="40">
        <f t="shared" si="41"/>
        <v>0.45065451066726792</v>
      </c>
      <c r="S235" s="40">
        <f t="shared" si="37"/>
        <v>0.57587104368207509</v>
      </c>
      <c r="T235" s="40" t="e">
        <f t="shared" si="42"/>
        <v>#N/A</v>
      </c>
      <c r="U235" s="39">
        <f t="shared" si="38"/>
        <v>-4.0123710912982807E-2</v>
      </c>
      <c r="V235" s="139">
        <f t="shared" si="39"/>
        <v>19.530128248781189</v>
      </c>
    </row>
    <row r="236" spans="13:22">
      <c r="M236" s="38">
        <f t="shared" si="33"/>
        <v>22.50000000000005</v>
      </c>
      <c r="N236" s="39">
        <f t="shared" si="34"/>
        <v>-2.208199081968155E-3</v>
      </c>
      <c r="O236" s="39">
        <f t="shared" si="35"/>
        <v>0.11550399803348341</v>
      </c>
      <c r="P236" s="39">
        <f t="shared" si="36"/>
        <v>1.7469060683975565E-2</v>
      </c>
      <c r="Q236" s="39">
        <f t="shared" si="40"/>
        <v>0.41788711300102532</v>
      </c>
      <c r="R236" s="40">
        <f t="shared" si="41"/>
        <v>0.41788711300102532</v>
      </c>
      <c r="S236" s="40">
        <f t="shared" si="37"/>
        <v>0.53399906626668237</v>
      </c>
      <c r="T236" s="40" t="e">
        <f t="shared" si="42"/>
        <v>#N/A</v>
      </c>
      <c r="U236" s="39">
        <f t="shared" si="38"/>
        <v>-2.353320513642794E-2</v>
      </c>
      <c r="V236" s="139">
        <f t="shared" si="39"/>
        <v>19.530128248781189</v>
      </c>
    </row>
    <row r="237" spans="13:22">
      <c r="M237" s="38">
        <f t="shared" si="33"/>
        <v>22.600000000000051</v>
      </c>
      <c r="N237" s="39">
        <f t="shared" si="34"/>
        <v>-8.8980202216415308E-4</v>
      </c>
      <c r="O237" s="39">
        <f t="shared" si="35"/>
        <v>0.10605134072391328</v>
      </c>
      <c r="P237" s="39">
        <f t="shared" si="36"/>
        <v>1.0175077427719481E-2</v>
      </c>
      <c r="Q237" s="39">
        <f t="shared" si="40"/>
        <v>0.38368791868275426</v>
      </c>
      <c r="R237" s="40">
        <f t="shared" si="41"/>
        <v>0.38368791868275426</v>
      </c>
      <c r="S237" s="40">
        <f t="shared" si="37"/>
        <v>0.49029746058212337</v>
      </c>
      <c r="T237" s="40" t="e">
        <f t="shared" si="42"/>
        <v>#N/A</v>
      </c>
      <c r="U237" s="39">
        <f t="shared" si="38"/>
        <v>-9.4827924209323605E-3</v>
      </c>
      <c r="V237" s="139">
        <f t="shared" si="39"/>
        <v>19.530128248781189</v>
      </c>
    </row>
    <row r="238" spans="13:22">
      <c r="M238" s="38">
        <f t="shared" si="33"/>
        <v>22.700000000000053</v>
      </c>
      <c r="N238" s="39">
        <f t="shared" si="34"/>
        <v>2.097206755985691E-4</v>
      </c>
      <c r="O238" s="39">
        <f t="shared" si="35"/>
        <v>9.6437396926562793E-2</v>
      </c>
      <c r="P238" s="39">
        <f t="shared" si="36"/>
        <v>4.2147265421224652E-3</v>
      </c>
      <c r="Q238" s="39">
        <f t="shared" si="40"/>
        <v>0.34890519872128362</v>
      </c>
      <c r="R238" s="40">
        <f t="shared" si="41"/>
        <v>0.34890519872128362</v>
      </c>
      <c r="S238" s="40">
        <f t="shared" si="37"/>
        <v>0.44585019383524177</v>
      </c>
      <c r="T238" s="40" t="e">
        <f t="shared" si="42"/>
        <v>#N/A</v>
      </c>
      <c r="U238" s="39">
        <f t="shared" si="38"/>
        <v>2.2350338429687651E-3</v>
      </c>
      <c r="V238" s="139">
        <f t="shared" si="39"/>
        <v>19.530128248781189</v>
      </c>
    </row>
    <row r="239" spans="13:22">
      <c r="M239" s="38">
        <f t="shared" si="33"/>
        <v>22.800000000000054</v>
      </c>
      <c r="N239" s="39">
        <f t="shared" si="34"/>
        <v>1.1101796482041991E-3</v>
      </c>
      <c r="O239" s="39">
        <f t="shared" si="35"/>
        <v>8.6857757274671252E-2</v>
      </c>
      <c r="P239" s="39">
        <f t="shared" si="36"/>
        <v>-5.4257101895909085E-4</v>
      </c>
      <c r="Q239" s="39">
        <f t="shared" si="40"/>
        <v>0.31424658927160365</v>
      </c>
      <c r="R239" s="40">
        <f t="shared" si="41"/>
        <v>0.31424658927160365</v>
      </c>
      <c r="S239" s="40">
        <f t="shared" si="37"/>
        <v>0.40156152230546116</v>
      </c>
      <c r="T239" s="40" t="e">
        <f t="shared" si="42"/>
        <v>#N/A</v>
      </c>
      <c r="U239" s="39">
        <f t="shared" si="38"/>
        <v>1.1831399448002121E-2</v>
      </c>
      <c r="V239" s="139">
        <f t="shared" si="39"/>
        <v>19.530128248781189</v>
      </c>
    </row>
    <row r="240" spans="13:22">
      <c r="M240" s="38">
        <f t="shared" si="33"/>
        <v>22.900000000000055</v>
      </c>
      <c r="N240" s="39">
        <f t="shared" si="34"/>
        <v>1.8313208068820176E-3</v>
      </c>
      <c r="O240" s="39">
        <f t="shared" si="35"/>
        <v>7.747265371176966E-2</v>
      </c>
      <c r="P240" s="39">
        <f t="shared" si="36"/>
        <v>-4.2317218645203389E-3</v>
      </c>
      <c r="Q240" s="39">
        <f t="shared" si="40"/>
        <v>0.2802918006938121</v>
      </c>
      <c r="R240" s="40">
        <f t="shared" si="41"/>
        <v>0.2802918006938121</v>
      </c>
      <c r="S240" s="40">
        <f t="shared" si="37"/>
        <v>0.35817223167715978</v>
      </c>
      <c r="T240" s="40" t="e">
        <f t="shared" si="42"/>
        <v>#N/A</v>
      </c>
      <c r="U240" s="39">
        <f t="shared" si="38"/>
        <v>1.9516740393058802E-2</v>
      </c>
      <c r="V240" s="139">
        <f t="shared" si="39"/>
        <v>19.530128248781189</v>
      </c>
    </row>
    <row r="241" spans="13:22">
      <c r="M241" s="38">
        <f t="shared" si="33"/>
        <v>23.000000000000057</v>
      </c>
      <c r="N241" s="39">
        <f t="shared" si="34"/>
        <v>2.3924939976962033E-3</v>
      </c>
      <c r="O241" s="39">
        <f t="shared" si="35"/>
        <v>6.8410461859308436E-2</v>
      </c>
      <c r="P241" s="39">
        <f t="shared" si="36"/>
        <v>-6.9872752953584602E-3</v>
      </c>
      <c r="Q241" s="39">
        <f t="shared" si="40"/>
        <v>0.24750528892658627</v>
      </c>
      <c r="R241" s="40">
        <f t="shared" si="41"/>
        <v>0.24750528892658627</v>
      </c>
      <c r="S241" s="40">
        <f t="shared" si="37"/>
        <v>0.31627582921548053</v>
      </c>
      <c r="T241" s="40" t="e">
        <f t="shared" si="42"/>
        <v>#N/A</v>
      </c>
      <c r="U241" s="39">
        <f t="shared" si="38"/>
        <v>2.5497271733884937E-2</v>
      </c>
      <c r="V241" s="139">
        <f t="shared" si="39"/>
        <v>19.530128248781189</v>
      </c>
    </row>
    <row r="242" spans="13:22">
      <c r="M242" s="38">
        <f t="shared" si="33"/>
        <v>23.100000000000058</v>
      </c>
      <c r="N242" s="39">
        <f t="shared" si="34"/>
        <v>2.812387429063634E-3</v>
      </c>
      <c r="O242" s="39">
        <f t="shared" si="35"/>
        <v>5.9771134008587613E-2</v>
      </c>
      <c r="P242" s="39">
        <f t="shared" si="36"/>
        <v>-8.9397854281917325E-3</v>
      </c>
      <c r="Q242" s="39">
        <f t="shared" si="40"/>
        <v>0.21624867586319685</v>
      </c>
      <c r="R242" s="40">
        <f t="shared" si="41"/>
        <v>0.21624867586319685</v>
      </c>
      <c r="S242" s="40">
        <f t="shared" si="37"/>
        <v>0.27633441520382623</v>
      </c>
      <c r="T242" s="40" t="e">
        <f t="shared" si="42"/>
        <v>#N/A</v>
      </c>
      <c r="U242" s="39">
        <f t="shared" si="38"/>
        <v>2.9972157325722566E-2</v>
      </c>
      <c r="V242" s="139">
        <f t="shared" si="39"/>
        <v>19.530128248781189</v>
      </c>
    </row>
    <row r="243" spans="13:22">
      <c r="M243" s="38">
        <f t="shared" si="33"/>
        <v>23.20000000000006</v>
      </c>
      <c r="N243" s="39">
        <f t="shared" si="34"/>
        <v>3.1088207883433446E-3</v>
      </c>
      <c r="O243" s="39">
        <f t="shared" si="35"/>
        <v>5.162951546119459E-2</v>
      </c>
      <c r="P243" s="39">
        <f t="shared" si="36"/>
        <v>-1.021308903163054E-2</v>
      </c>
      <c r="Q243" s="39">
        <f t="shared" si="40"/>
        <v>0.18679274768883716</v>
      </c>
      <c r="R243" s="40">
        <f t="shared" si="41"/>
        <v>0.18679274768883716</v>
      </c>
      <c r="S243" s="40">
        <f t="shared" si="37"/>
        <v>0.23869401507718258</v>
      </c>
      <c r="T243" s="40" t="e">
        <f t="shared" si="42"/>
        <v>#N/A</v>
      </c>
      <c r="U243" s="39">
        <f t="shared" si="38"/>
        <v>3.3131305026749679E-2</v>
      </c>
      <c r="V243" s="139">
        <f t="shared" si="39"/>
        <v>19.530128248781189</v>
      </c>
    </row>
    <row r="244" spans="13:22">
      <c r="M244" s="38">
        <f t="shared" si="33"/>
        <v>23.300000000000061</v>
      </c>
      <c r="N244" s="39">
        <f t="shared" si="34"/>
        <v>3.2985902085295765E-3</v>
      </c>
      <c r="O244" s="39">
        <f t="shared" si="35"/>
        <v>4.40385073700576E-2</v>
      </c>
      <c r="P244" s="39">
        <f t="shared" si="36"/>
        <v>-1.0922371556947209E-2</v>
      </c>
      <c r="Q244" s="39">
        <f t="shared" si="40"/>
        <v>0.15932889786562082</v>
      </c>
      <c r="R244" s="40">
        <f t="shared" si="41"/>
        <v>0.15932889786562082</v>
      </c>
      <c r="S244" s="40">
        <f t="shared" si="37"/>
        <v>0.20359920189578179</v>
      </c>
      <c r="T244" s="40" t="e">
        <f t="shared" si="42"/>
        <v>#N/A</v>
      </c>
      <c r="U244" s="39">
        <f t="shared" si="38"/>
        <v>3.5153714478112719E-2</v>
      </c>
      <c r="V244" s="139">
        <f t="shared" si="39"/>
        <v>19.530128248781189</v>
      </c>
    </row>
    <row r="245" spans="13:22">
      <c r="M245" s="38">
        <f t="shared" si="33"/>
        <v>23.400000000000063</v>
      </c>
      <c r="N245" s="39">
        <f t="shared" si="34"/>
        <v>3.397358561335692E-3</v>
      </c>
      <c r="O245" s="39">
        <f t="shared" si="35"/>
        <v>3.7032048447509514E-2</v>
      </c>
      <c r="P245" s="39">
        <f t="shared" si="36"/>
        <v>-1.1172900301797538E-2</v>
      </c>
      <c r="Q245" s="39">
        <f t="shared" si="40"/>
        <v>0.13397991478838464</v>
      </c>
      <c r="R245" s="40">
        <f t="shared" si="41"/>
        <v>0.13397991478838464</v>
      </c>
      <c r="S245" s="40">
        <f t="shared" si="37"/>
        <v>0.17120688140318777</v>
      </c>
      <c r="T245" s="40" t="e">
        <f t="shared" si="42"/>
        <v>#N/A</v>
      </c>
      <c r="U245" s="39">
        <f t="shared" si="38"/>
        <v>3.6206307936081976E-2</v>
      </c>
      <c r="V245" s="139">
        <f t="shared" si="39"/>
        <v>19.530128248781189</v>
      </c>
    </row>
    <row r="246" spans="13:22">
      <c r="M246" s="38">
        <f t="shared" si="33"/>
        <v>23.500000000000064</v>
      </c>
      <c r="N246" s="39">
        <f t="shared" si="34"/>
        <v>3.4195849254499114E-3</v>
      </c>
      <c r="O246" s="39">
        <f t="shared" si="35"/>
        <v>3.0627895963155082E-2</v>
      </c>
      <c r="P246" s="39">
        <f t="shared" si="36"/>
        <v>-1.105931201559795E-2</v>
      </c>
      <c r="Q246" s="39">
        <f t="shared" si="40"/>
        <v>0.11081004328203721</v>
      </c>
      <c r="R246" s="40">
        <f t="shared" si="41"/>
        <v>0.11081004328203721</v>
      </c>
      <c r="S246" s="40">
        <f t="shared" si="37"/>
        <v>0.14159914915929303</v>
      </c>
      <c r="T246" s="40" t="e">
        <f t="shared" si="42"/>
        <v>#N/A</v>
      </c>
      <c r="U246" s="39">
        <f t="shared" si="38"/>
        <v>3.6443178601597633E-2</v>
      </c>
      <c r="V246" s="139">
        <f t="shared" si="39"/>
        <v>19.530128248781189</v>
      </c>
    </row>
    <row r="247" spans="13:22">
      <c r="M247" s="38">
        <f t="shared" si="33"/>
        <v>23.600000000000065</v>
      </c>
      <c r="N247" s="39">
        <f t="shared" si="34"/>
        <v>3.3784874918341822E-3</v>
      </c>
      <c r="O247" s="39">
        <f t="shared" si="35"/>
        <v>2.4830193418745997E-2</v>
      </c>
      <c r="P247" s="39">
        <f t="shared" si="36"/>
        <v>-1.0665351885900246E-2</v>
      </c>
      <c r="Q247" s="39">
        <f t="shared" si="40"/>
        <v>8.9834274308053533E-2</v>
      </c>
      <c r="R247" s="40">
        <f t="shared" si="41"/>
        <v>8.9834274308053533E-2</v>
      </c>
      <c r="S247" s="40">
        <f t="shared" si="37"/>
        <v>0.11479516143664353</v>
      </c>
      <c r="T247" s="40" t="e">
        <f t="shared" si="42"/>
        <v>#N/A</v>
      </c>
      <c r="U247" s="39">
        <f t="shared" si="38"/>
        <v>3.6005195294858072E-2</v>
      </c>
      <c r="V247" s="139">
        <f t="shared" si="39"/>
        <v>19.530128248781189</v>
      </c>
    </row>
    <row r="248" spans="13:22">
      <c r="M248" s="38">
        <f t="shared" si="33"/>
        <v>23.700000000000067</v>
      </c>
      <c r="N248" s="39">
        <f t="shared" si="34"/>
        <v>3.2860346072385634E-3</v>
      </c>
      <c r="O248" s="39">
        <f t="shared" si="35"/>
        <v>1.9631818232866818E-2</v>
      </c>
      <c r="P248" s="39">
        <f t="shared" si="36"/>
        <v>-1.0063971190830934E-2</v>
      </c>
      <c r="Q248" s="39">
        <f t="shared" si="40"/>
        <v>7.1026838758563013E-2</v>
      </c>
      <c r="R248" s="40">
        <f t="shared" si="41"/>
        <v>7.1026838758563013E-2</v>
      </c>
      <c r="S248" s="40">
        <f t="shared" si="37"/>
        <v>9.0761989056249742E-2</v>
      </c>
      <c r="T248" s="40" t="e">
        <f t="shared" si="42"/>
        <v>#N/A</v>
      </c>
      <c r="U248" s="39">
        <f t="shared" si="38"/>
        <v>3.5019907004318618E-2</v>
      </c>
      <c r="V248" s="139">
        <f t="shared" si="39"/>
        <v>19.530128248781189</v>
      </c>
    </row>
    <row r="249" spans="13:22">
      <c r="M249" s="38">
        <f t="shared" si="33"/>
        <v>23.800000000000068</v>
      </c>
      <c r="N249" s="39">
        <f t="shared" si="34"/>
        <v>3.1529591103268756E-3</v>
      </c>
      <c r="O249" s="39">
        <f t="shared" si="35"/>
        <v>1.5016507772854831E-2</v>
      </c>
      <c r="P249" s="39">
        <f t="shared" si="36"/>
        <v>-9.3177015193617128E-3</v>
      </c>
      <c r="Q249" s="39">
        <f t="shared" si="40"/>
        <v>5.4328899322919066E-2</v>
      </c>
      <c r="R249" s="40">
        <f t="shared" si="41"/>
        <v>5.4328899322919066E-2</v>
      </c>
      <c r="S249" s="40">
        <f t="shared" si="37"/>
        <v>6.9424446476443968E-2</v>
      </c>
      <c r="T249" s="40" t="e">
        <f t="shared" si="42"/>
        <v>#N/A</v>
      </c>
      <c r="U249" s="39">
        <f t="shared" si="38"/>
        <v>3.3601695669558174E-2</v>
      </c>
      <c r="V249" s="139">
        <f t="shared" si="39"/>
        <v>19.530128248781189</v>
      </c>
    </row>
    <row r="250" spans="13:22">
      <c r="M250" s="38">
        <f t="shared" si="33"/>
        <v>23.90000000000007</v>
      </c>
      <c r="N250" s="39">
        <f t="shared" si="34"/>
        <v>2.9887915716138641E-3</v>
      </c>
      <c r="O250" s="39">
        <f t="shared" si="35"/>
        <v>1.0960766215378922E-2</v>
      </c>
      <c r="P250" s="39">
        <f t="shared" si="36"/>
        <v>-8.4792339955766325E-3</v>
      </c>
      <c r="Q250" s="39">
        <f t="shared" si="40"/>
        <v>3.9655449404409994E-2</v>
      </c>
      <c r="R250" s="40">
        <f t="shared" si="41"/>
        <v>3.9655449404409994E-2</v>
      </c>
      <c r="S250" s="40">
        <f t="shared" si="37"/>
        <v>5.0673907606929823E-2</v>
      </c>
      <c r="T250" s="40" t="e">
        <f t="shared" si="42"/>
        <v>#N/A</v>
      </c>
      <c r="U250" s="39">
        <f t="shared" si="38"/>
        <v>3.1852130425725017E-2</v>
      </c>
      <c r="V250" s="139">
        <f t="shared" si="39"/>
        <v>19.530128248781189</v>
      </c>
    </row>
    <row r="251" spans="13:22">
      <c r="M251" s="38">
        <f t="shared" si="33"/>
        <v>24.000000000000071</v>
      </c>
      <c r="N251" s="39">
        <f t="shared" si="34"/>
        <v>2.8019085002296438E-3</v>
      </c>
      <c r="O251" s="39">
        <f t="shared" si="35"/>
        <v>7.4355580814849161E-3</v>
      </c>
      <c r="P251" s="39">
        <f t="shared" si="36"/>
        <v>-7.5921421224001522E-3</v>
      </c>
      <c r="Q251" s="39">
        <f t="shared" si="40"/>
        <v>2.6901440236920825E-2</v>
      </c>
      <c r="R251" s="40">
        <f t="shared" si="41"/>
        <v>2.6901440236920825E-2</v>
      </c>
      <c r="S251" s="40">
        <f t="shared" si="37"/>
        <v>3.4376135374410151E-2</v>
      </c>
      <c r="T251" s="40" t="e">
        <f t="shared" si="42"/>
        <v>#N/A</v>
      </c>
      <c r="U251" s="39">
        <f t="shared" si="38"/>
        <v>2.986048135235855E-2</v>
      </c>
      <c r="V251" s="139">
        <f t="shared" si="39"/>
        <v>19.530128248781189</v>
      </c>
    </row>
    <row r="252" spans="13:22">
      <c r="M252" s="38">
        <f t="shared" si="33"/>
        <v>24.100000000000072</v>
      </c>
      <c r="N252" s="39">
        <f t="shared" si="34"/>
        <v>2.5995920203975096E-3</v>
      </c>
      <c r="O252" s="39">
        <f t="shared" si="35"/>
        <v>4.4077969568391395E-3</v>
      </c>
      <c r="P252" s="39">
        <f t="shared" si="36"/>
        <v>-6.6916964818547094E-3</v>
      </c>
      <c r="Q252" s="39">
        <f t="shared" si="40"/>
        <v>1.5947166992905715E-2</v>
      </c>
      <c r="R252" s="40">
        <f t="shared" si="41"/>
        <v>1.5947166992905715E-2</v>
      </c>
      <c r="S252" s="40">
        <f t="shared" si="37"/>
        <v>2.0378164386681181E-2</v>
      </c>
      <c r="T252" s="40" t="e">
        <f t="shared" si="42"/>
        <v>#N/A</v>
      </c>
      <c r="U252" s="39">
        <f t="shared" si="38"/>
        <v>2.7704355457167065E-2</v>
      </c>
      <c r="V252" s="139">
        <f t="shared" si="39"/>
        <v>19.530128248781189</v>
      </c>
    </row>
    <row r="253" spans="13:22">
      <c r="M253" s="38">
        <f t="shared" si="33"/>
        <v>24.200000000000074</v>
      </c>
      <c r="N253" s="39">
        <f t="shared" si="34"/>
        <v>2.3880979429205828E-3</v>
      </c>
      <c r="O253" s="39">
        <f t="shared" si="35"/>
        <v>1.8416399514042726E-3</v>
      </c>
      <c r="P253" s="39">
        <f t="shared" si="36"/>
        <v>-5.8057284504858322E-3</v>
      </c>
      <c r="Q253" s="39">
        <f t="shared" si="40"/>
        <v>6.6629520673092352E-3</v>
      </c>
      <c r="R253" s="40">
        <f t="shared" si="41"/>
        <v>6.6629520673092352E-3</v>
      </c>
      <c r="S253" s="40">
        <f t="shared" si="37"/>
        <v>8.5142854896175339E-3</v>
      </c>
      <c r="T253" s="40" t="e">
        <f t="shared" si="42"/>
        <v>#N/A</v>
      </c>
      <c r="U253" s="39">
        <f t="shared" si="38"/>
        <v>2.5450422127039959E-2</v>
      </c>
      <c r="V253" s="139">
        <f t="shared" si="39"/>
        <v>19.530128248781189</v>
      </c>
    </row>
    <row r="254" spans="13:22">
      <c r="M254" s="38">
        <f t="shared" si="33"/>
        <v>24.300000000000075</v>
      </c>
      <c r="N254" s="39">
        <f t="shared" si="34"/>
        <v>2.1727295576915622E-3</v>
      </c>
      <c r="O254" s="39">
        <f t="shared" si="35"/>
        <v>-3.0040005016247686E-4</v>
      </c>
      <c r="P254" s="39">
        <f t="shared" si="36"/>
        <v>-4.9555082186377919E-3</v>
      </c>
      <c r="Q254" s="39">
        <f t="shared" si="40"/>
        <v>-1.0868308616587439E-3</v>
      </c>
      <c r="R254" s="40">
        <f t="shared" si="41"/>
        <v>-1.0868308616587439E-3</v>
      </c>
      <c r="S254" s="40">
        <f t="shared" si="37"/>
        <v>-1.388812067325367E-3</v>
      </c>
      <c r="T254" s="40" t="e">
        <f t="shared" si="42"/>
        <v>#N/A</v>
      </c>
      <c r="U254" s="39">
        <f t="shared" si="38"/>
        <v>2.3155199549110786E-2</v>
      </c>
      <c r="V254" s="139">
        <f t="shared" si="39"/>
        <v>19.530128248781189</v>
      </c>
    </row>
    <row r="255" spans="13:22">
      <c r="M255" s="38">
        <f t="shared" ref="M255:M318" si="43">MIN(M254+Dx,LSchiene)</f>
        <v>24.400000000000077</v>
      </c>
      <c r="N255" s="39">
        <f t="shared" si="34"/>
        <v>1.9579148491646625E-3</v>
      </c>
      <c r="O255" s="39">
        <f t="shared" si="35"/>
        <v>-2.0565112743672798E-3</v>
      </c>
      <c r="P255" s="39">
        <f t="shared" si="36"/>
        <v>-4.1566096914131918E-3</v>
      </c>
      <c r="Q255" s="39">
        <f t="shared" si="40"/>
        <v>-7.4403446974214173E-3</v>
      </c>
      <c r="R255" s="40">
        <f t="shared" si="41"/>
        <v>-7.4403446974214173E-3</v>
      </c>
      <c r="S255" s="40">
        <f t="shared" si="37"/>
        <v>-9.5076804177867767E-3</v>
      </c>
      <c r="T255" s="40" t="e">
        <f t="shared" si="42"/>
        <v>#N/A</v>
      </c>
      <c r="U255" s="39">
        <f t="shared" si="38"/>
        <v>2.0865877610991075E-2</v>
      </c>
      <c r="V255" s="139">
        <f t="shared" si="39"/>
        <v>19.530128248781189</v>
      </c>
    </row>
    <row r="256" spans="13:22">
      <c r="M256" s="38">
        <f t="shared" si="43"/>
        <v>24.500000000000078</v>
      </c>
      <c r="N256" s="39">
        <f t="shared" si="34"/>
        <v>1.7472851857401478E-3</v>
      </c>
      <c r="O256" s="39">
        <f t="shared" si="35"/>
        <v>-3.4647953948167666E-3</v>
      </c>
      <c r="P256" s="39">
        <f t="shared" si="36"/>
        <v>-3.4197412821953847E-3</v>
      </c>
      <c r="Q256" s="39">
        <f t="shared" si="40"/>
        <v>-1.2535439199771226E-2</v>
      </c>
      <c r="R256" s="40">
        <f t="shared" si="41"/>
        <v>-1.2535439199771226E-2</v>
      </c>
      <c r="S256" s="40">
        <f t="shared" si="37"/>
        <v>-1.6018471543304515E-2</v>
      </c>
      <c r="T256" s="40" t="e">
        <f t="shared" si="42"/>
        <v>#N/A</v>
      </c>
      <c r="U256" s="39">
        <f t="shared" si="38"/>
        <v>1.8621156508775997E-2</v>
      </c>
      <c r="V256" s="139">
        <f t="shared" si="39"/>
        <v>19.530128248781189</v>
      </c>
    </row>
    <row r="257" spans="13:22">
      <c r="M257" s="38">
        <f t="shared" si="43"/>
        <v>24.60000000000008</v>
      </c>
      <c r="N257" s="39">
        <f t="shared" si="34"/>
        <v>1.5437538548326276E-3</v>
      </c>
      <c r="O257" s="39">
        <f t="shared" si="35"/>
        <v>-4.562621365514467E-3</v>
      </c>
      <c r="P257" s="39">
        <f t="shared" si="36"/>
        <v>-2.7515271983597732E-3</v>
      </c>
      <c r="Q257" s="39">
        <f t="shared" si="40"/>
        <v>-1.6507313189270865E-2</v>
      </c>
      <c r="R257" s="40">
        <f t="shared" si="41"/>
        <v>-1.6507313189270865E-2</v>
      </c>
      <c r="S257" s="40">
        <f t="shared" si="37"/>
        <v>-2.1093949909914318E-2</v>
      </c>
      <c r="T257" s="40" t="e">
        <f t="shared" si="42"/>
        <v>#N/A</v>
      </c>
      <c r="U257" s="39">
        <f t="shared" si="38"/>
        <v>1.6452083710472052E-2</v>
      </c>
      <c r="V257" s="139">
        <f t="shared" si="39"/>
        <v>19.530128248781189</v>
      </c>
    </row>
    <row r="258" spans="13:22">
      <c r="M258" s="38">
        <f t="shared" si="43"/>
        <v>24.700000000000081</v>
      </c>
      <c r="N258" s="39">
        <f t="shared" si="34"/>
        <v>1.349593107465105E-3</v>
      </c>
      <c r="O258" s="39">
        <f t="shared" si="35"/>
        <v>-5.3861068218816954E-3</v>
      </c>
      <c r="P258" s="39">
        <f t="shared" si="36"/>
        <v>-2.1552285957664053E-3</v>
      </c>
      <c r="Q258" s="39">
        <f t="shared" si="40"/>
        <v>-1.9486638284666048E-2</v>
      </c>
      <c r="R258" s="40">
        <f t="shared" si="41"/>
        <v>-1.9486638284666048E-2</v>
      </c>
      <c r="S258" s="40">
        <f t="shared" si="37"/>
        <v>-2.4901094876938028E-2</v>
      </c>
      <c r="T258" s="40" t="e">
        <f t="shared" si="42"/>
        <v>#N/A</v>
      </c>
      <c r="U258" s="39">
        <f t="shared" si="38"/>
        <v>1.4382875035152096E-2</v>
      </c>
      <c r="V258" s="139">
        <f t="shared" si="39"/>
        <v>19.530128248781189</v>
      </c>
    </row>
    <row r="259" spans="13:22">
      <c r="M259" s="38">
        <f t="shared" si="43"/>
        <v>24.800000000000082</v>
      </c>
      <c r="N259" s="39">
        <f t="shared" si="34"/>
        <v>1.1665086395899254E-3</v>
      </c>
      <c r="O259" s="39">
        <f t="shared" si="35"/>
        <v>-5.9697133807083318E-3</v>
      </c>
      <c r="P259" s="39">
        <f t="shared" si="36"/>
        <v>-1.6313979915561412E-3</v>
      </c>
      <c r="Q259" s="39">
        <f t="shared" si="40"/>
        <v>-2.1598094720362993E-2</v>
      </c>
      <c r="R259" s="40">
        <f t="shared" si="41"/>
        <v>-2.1598094720362993E-2</v>
      </c>
      <c r="S259" s="40">
        <f t="shared" si="37"/>
        <v>-2.7599229684273377E-2</v>
      </c>
      <c r="T259" s="40" t="e">
        <f t="shared" si="42"/>
        <v>#N/A</v>
      </c>
      <c r="U259" s="39">
        <f t="shared" si="38"/>
        <v>1.2431708414812705E-2</v>
      </c>
      <c r="V259" s="139">
        <f t="shared" si="39"/>
        <v>19.530128248781189</v>
      </c>
    </row>
    <row r="260" spans="13:22">
      <c r="M260" s="38">
        <f t="shared" si="43"/>
        <v>24.900000000000084</v>
      </c>
      <c r="N260" s="39">
        <f t="shared" si="34"/>
        <v>9.9571067251599506E-4</v>
      </c>
      <c r="O260" s="39">
        <f t="shared" si="35"/>
        <v>-6.3459426220479299E-3</v>
      </c>
      <c r="P260" s="39">
        <f t="shared" si="36"/>
        <v>-1.1784636319476128E-3</v>
      </c>
      <c r="Q260" s="39">
        <f t="shared" si="40"/>
        <v>-2.2959271425643742E-2</v>
      </c>
      <c r="R260" s="40">
        <f t="shared" si="41"/>
        <v>-2.2959271425643742E-2</v>
      </c>
      <c r="S260" s="40">
        <f t="shared" si="37"/>
        <v>-2.933861591330527E-2</v>
      </c>
      <c r="T260" s="40" t="e">
        <f t="shared" si="42"/>
        <v>#N/A</v>
      </c>
      <c r="U260" s="39">
        <f t="shared" si="38"/>
        <v>1.0611481412248616E-2</v>
      </c>
      <c r="V260" s="139">
        <f t="shared" si="39"/>
        <v>19.530128248781189</v>
      </c>
    </row>
    <row r="261" spans="13:22">
      <c r="M261" s="38">
        <f t="shared" si="43"/>
        <v>25.000000000000085</v>
      </c>
      <c r="N261" s="39">
        <f t="shared" si="34"/>
        <v>8.3798100274400393E-4</v>
      </c>
      <c r="O261" s="39">
        <f t="shared" si="35"/>
        <v>-6.5451201370597739E-3</v>
      </c>
      <c r="P261" s="39">
        <f t="shared" si="36"/>
        <v>-7.932431780285214E-4</v>
      </c>
      <c r="Q261" s="39">
        <f t="shared" si="40"/>
        <v>-2.3679884721634493E-2</v>
      </c>
      <c r="R261" s="40">
        <f t="shared" si="41"/>
        <v>-2.3679884721634493E-2</v>
      </c>
      <c r="S261" s="40">
        <f t="shared" si="37"/>
        <v>-3.025945509505212E-2</v>
      </c>
      <c r="T261" s="40" t="e">
        <f t="shared" si="42"/>
        <v>#N/A</v>
      </c>
      <c r="U261" s="39">
        <f t="shared" si="38"/>
        <v>8.9305257841279292E-3</v>
      </c>
      <c r="V261" s="139">
        <f t="shared" si="39"/>
        <v>19.530128248781189</v>
      </c>
    </row>
    <row r="262" spans="13:22">
      <c r="M262" s="38">
        <f t="shared" si="43"/>
        <v>25.100000000000087</v>
      </c>
      <c r="N262" s="39">
        <f t="shared" si="34"/>
        <v>6.9373557341233987E-4</v>
      </c>
      <c r="O262" s="39">
        <f t="shared" si="35"/>
        <v>-6.5952557390238703E-3</v>
      </c>
      <c r="P262" s="39">
        <f t="shared" si="36"/>
        <v>-4.713881661710242E-4</v>
      </c>
      <c r="Q262" s="39">
        <f t="shared" si="40"/>
        <v>-2.3861272572445264E-2</v>
      </c>
      <c r="R262" s="40">
        <f t="shared" si="41"/>
        <v>-2.3861272572445264E-2</v>
      </c>
      <c r="S262" s="40">
        <f t="shared" si="37"/>
        <v>-3.0491242436541242E-2</v>
      </c>
      <c r="T262" s="40" t="e">
        <f t="shared" si="42"/>
        <v>#N/A</v>
      </c>
      <c r="U262" s="39">
        <f t="shared" si="38"/>
        <v>7.3932743170053985E-3</v>
      </c>
      <c r="V262" s="139">
        <f t="shared" si="39"/>
        <v>19.530128248781189</v>
      </c>
    </row>
    <row r="263" spans="13:22">
      <c r="M263" s="38">
        <f t="shared" si="43"/>
        <v>25.200000000000088</v>
      </c>
      <c r="N263" s="39">
        <f t="shared" si="34"/>
        <v>5.6308227690220626E-4</v>
      </c>
      <c r="O263" s="39">
        <f t="shared" si="35"/>
        <v>-6.5219687278769934E-3</v>
      </c>
      <c r="P263" s="39">
        <f t="shared" si="36"/>
        <v>-2.0776228961357889E-4</v>
      </c>
      <c r="Q263" s="39">
        <f t="shared" si="40"/>
        <v>-2.3596124196371176E-2</v>
      </c>
      <c r="R263" s="40">
        <f t="shared" si="41"/>
        <v>-2.3596124196371176E-2</v>
      </c>
      <c r="S263" s="40">
        <f t="shared" si="37"/>
        <v>-3.0152421303176118E-2</v>
      </c>
      <c r="T263" s="40" t="e">
        <f t="shared" si="42"/>
        <v>#N/A</v>
      </c>
      <c r="U263" s="39">
        <f t="shared" si="38"/>
        <v>6.000876840876088E-3</v>
      </c>
      <c r="V263" s="139">
        <f t="shared" si="39"/>
        <v>19.530128248781189</v>
      </c>
    </row>
    <row r="264" spans="13:22">
      <c r="M264" s="38">
        <f t="shared" si="43"/>
        <v>25.30000000000009</v>
      </c>
      <c r="N264" s="39">
        <f t="shared" si="34"/>
        <v>4.4587383257383063E-4</v>
      </c>
      <c r="O264" s="39">
        <f t="shared" si="35"/>
        <v>-6.3484679436714804E-3</v>
      </c>
      <c r="P264" s="39">
        <f t="shared" si="36"/>
        <v>3.2422984683888032E-6</v>
      </c>
      <c r="Q264" s="39">
        <f t="shared" si="40"/>
        <v>-2.2968407900403331E-2</v>
      </c>
      <c r="R264" s="40">
        <f t="shared" si="41"/>
        <v>-2.2968407900403331E-2</v>
      </c>
      <c r="S264" s="40">
        <f t="shared" si="37"/>
        <v>-2.9350291001717429E-2</v>
      </c>
      <c r="T264" s="40" t="e">
        <f t="shared" si="42"/>
        <v>#N/A</v>
      </c>
      <c r="U264" s="39">
        <f t="shared" si="38"/>
        <v>4.7517637574475734E-3</v>
      </c>
      <c r="V264" s="139">
        <f t="shared" si="39"/>
        <v>19.530128248781189</v>
      </c>
    </row>
    <row r="265" spans="13:22">
      <c r="M265" s="38">
        <f t="shared" si="43"/>
        <v>25.400000000000091</v>
      </c>
      <c r="N265" s="39">
        <f t="shared" ref="N265:N328" si="44">(1/($C$14*$C$15))*(($C$11*10^3/2)/(8*(1/$I$24)^3)*EXP(-(1/$I$24)*ABS(M265-$D$33)*10^3)*(COS(ABS(M265-$D$33)*10^3/$I$24)+SIN(ABS(M265-$D$33)*10^3/$I$24))+($C$10*10^3/2)/(8*(1/$I$24)^3)*EXP(-(1/$I$24)*ABS(M265-$D$32)*10^3)*(COS(ABS(M265-$D$32)*10^3/$I$24)+SIN(ABS(M265-$D$32)*10^3/$I$24)))</f>
        <v>3.4175569684638215E-4</v>
      </c>
      <c r="O265" s="39">
        <f t="shared" ref="O265:O331" si="45">(($C$11*10^3/2)/(4*(1/$I$24))*EXP(-(1/$I$24)*ABS(M265-$D$33)*10^3)*(COS(ABS(M265-$D$33)*10^3/$I$24)-SIN(ABS(M265-$D$33)*10^3/$I$24))+($C$10*10^3/2)/(4*(1/$I$24))*EXP(-(1/$I$24)*ABS(M265-$D$32)*10^3)*(COS(ABS(M265-$D$32)*10^3/$I$24)-SIN(ABS(M265-$D$32)*10^3/$I$24)))*10^-6</f>
        <v>-6.0955772174374903E-3</v>
      </c>
      <c r="P265" s="39">
        <f t="shared" ref="P265:P331" si="46">((Achslast_2_2*10^3*kd_2*kq_2/2)/(4*(1/Lelastisch_2))*EXP(-(1/Lelastisch_2)*ABS(M265-$D$33)*10^3)*(COS(ABS(M265-$D$33)*10^3/Lelastisch_2)-SIN(ABS(M265-$D$33)*10^3/Lelastisch_2))+(Achslast_1_2*10^3*kd_2*kq_2/2)/(4*(1/Lelastisch_2))*EXP(-(1/Lelastisch_2)*ABS(M265-$D$32)*10^3)*(COS(ABS(M265-$D$32)*10^3/Lelastisch_2)-SIN(ABS(M265-$D$32)*10^3/Lelastisch_2)))*10^-6</f>
        <v>1.6744567775676825E-4</v>
      </c>
      <c r="Q265" s="39">
        <f t="shared" si="40"/>
        <v>-2.205346316004881E-2</v>
      </c>
      <c r="R265" s="40">
        <f t="shared" si="41"/>
        <v>-2.205346316004881E-2</v>
      </c>
      <c r="S265" s="40">
        <f t="shared" ref="S265:S331" si="47">(O265/WSchiene_2)*10^6*(1+3*$D$126*$D$123)</f>
        <v>-2.8181124444925983E-2</v>
      </c>
      <c r="T265" s="40" t="e">
        <f t="shared" si="42"/>
        <v>#N/A</v>
      </c>
      <c r="U265" s="39">
        <f t="shared" ref="U265:U331" si="48">$I$22*N265</f>
        <v>3.6421566271372875E-3</v>
      </c>
      <c r="V265" s="139">
        <f t="shared" ref="V265:V331" si="49">MAX($U$9:$U$331)</f>
        <v>19.530128248781189</v>
      </c>
    </row>
    <row r="266" spans="13:22">
      <c r="M266" s="38">
        <f t="shared" si="43"/>
        <v>25.500000000000092</v>
      </c>
      <c r="N266" s="39">
        <f t="shared" si="44"/>
        <v>2.5020905669116727E-4</v>
      </c>
      <c r="O266" s="39">
        <f t="shared" si="45"/>
        <v>-5.7817977088967833E-3</v>
      </c>
      <c r="P266" s="39">
        <f t="shared" si="46"/>
        <v>2.9067239531648171E-4</v>
      </c>
      <c r="Q266" s="39">
        <f t="shared" ref="Q266:Q329" si="50">O266/$C$16*10^6</f>
        <v>-2.0918226153751024E-2</v>
      </c>
      <c r="R266" s="40">
        <f t="shared" ref="R266:R329" si="51">(O266/$C$16)*10^6*(1+3*$D$126*$D$122)</f>
        <v>-2.0918226153751024E-2</v>
      </c>
      <c r="S266" s="40">
        <f t="shared" si="47"/>
        <v>-2.6730456351811295E-2</v>
      </c>
      <c r="T266" s="40" t="e">
        <f t="shared" si="42"/>
        <v>#N/A</v>
      </c>
      <c r="U266" s="39">
        <f t="shared" si="48"/>
        <v>2.6665263590532925E-3</v>
      </c>
      <c r="V266" s="139">
        <f t="shared" si="49"/>
        <v>19.530128248781189</v>
      </c>
    </row>
    <row r="267" spans="13:22">
      <c r="M267" s="38">
        <f t="shared" si="43"/>
        <v>25.600000000000094</v>
      </c>
      <c r="N267" s="39">
        <f t="shared" si="44"/>
        <v>1.7058903389644749E-4</v>
      </c>
      <c r="O267" s="39">
        <f t="shared" si="45"/>
        <v>-5.4233994926314293E-3</v>
      </c>
      <c r="P267" s="39">
        <f t="shared" si="46"/>
        <v>3.7858957128058965E-4</v>
      </c>
      <c r="Q267" s="39">
        <f t="shared" si="50"/>
        <v>-1.9621561116611539E-2</v>
      </c>
      <c r="R267" s="40">
        <f t="shared" si="51"/>
        <v>-1.9621561116611539E-2</v>
      </c>
      <c r="S267" s="40">
        <f t="shared" si="47"/>
        <v>-2.5073506669585896E-2</v>
      </c>
      <c r="T267" s="40" t="e">
        <f t="shared" si="42"/>
        <v>#N/A</v>
      </c>
      <c r="U267" s="39">
        <f t="shared" si="48"/>
        <v>1.8180003612410034E-3</v>
      </c>
      <c r="V267" s="139">
        <f t="shared" si="49"/>
        <v>19.530128248781189</v>
      </c>
    </row>
    <row r="268" spans="13:22">
      <c r="M268" s="38">
        <f t="shared" si="43"/>
        <v>25.700000000000095</v>
      </c>
      <c r="N268" s="39">
        <f t="shared" si="44"/>
        <v>1.0215828798046648E-4</v>
      </c>
      <c r="O268" s="39">
        <f t="shared" si="45"/>
        <v>-5.0345356040789185E-3</v>
      </c>
      <c r="P268" s="39">
        <f t="shared" si="46"/>
        <v>4.3658519325088239E-4</v>
      </c>
      <c r="Q268" s="39">
        <f t="shared" si="50"/>
        <v>-1.8214672952528651E-2</v>
      </c>
      <c r="R268" s="40">
        <f t="shared" si="51"/>
        <v>-1.8214672952528651E-2</v>
      </c>
      <c r="S268" s="40">
        <f t="shared" si="47"/>
        <v>-2.3275707832080068E-2</v>
      </c>
      <c r="T268" s="40" t="e">
        <f t="shared" si="42"/>
        <v>#N/A</v>
      </c>
      <c r="U268" s="39">
        <f t="shared" si="48"/>
        <v>1.0887206534330354E-3</v>
      </c>
      <c r="V268" s="139">
        <f t="shared" si="49"/>
        <v>19.530128248781189</v>
      </c>
    </row>
    <row r="269" spans="13:22">
      <c r="M269" s="38">
        <f t="shared" si="43"/>
        <v>25.800000000000097</v>
      </c>
      <c r="N269" s="39">
        <f t="shared" si="44"/>
        <v>4.4116252129452064E-5</v>
      </c>
      <c r="O269" s="39">
        <f t="shared" si="45"/>
        <v>-4.6273725733291535E-3</v>
      </c>
      <c r="P269" s="39">
        <f t="shared" si="46"/>
        <v>4.6968106470577281E-4</v>
      </c>
      <c r="Q269" s="39">
        <f t="shared" si="50"/>
        <v>-1.6741579498296504E-2</v>
      </c>
      <c r="R269" s="40">
        <f t="shared" si="51"/>
        <v>-1.6741579498296504E-2</v>
      </c>
      <c r="S269" s="40">
        <f t="shared" si="47"/>
        <v>-2.1393308244702511E-2</v>
      </c>
      <c r="T269" s="40" t="e">
        <f t="shared" si="42"/>
        <v>#N/A</v>
      </c>
      <c r="U269" s="39">
        <f t="shared" si="48"/>
        <v>4.7015544010073248E-4</v>
      </c>
      <c r="V269" s="139">
        <f t="shared" si="49"/>
        <v>19.530128248781189</v>
      </c>
    </row>
    <row r="270" spans="13:22">
      <c r="M270" s="38">
        <f t="shared" si="43"/>
        <v>25.900000000000098</v>
      </c>
      <c r="N270" s="39">
        <f t="shared" si="44"/>
        <v>-4.3757292966284144E-6</v>
      </c>
      <c r="O270" s="39">
        <f t="shared" si="45"/>
        <v>-4.2122322498568971E-3</v>
      </c>
      <c r="P270" s="39">
        <f t="shared" si="46"/>
        <v>4.8247514063629097E-4</v>
      </c>
      <c r="Q270" s="39">
        <f t="shared" si="50"/>
        <v>-1.523962463768776E-2</v>
      </c>
      <c r="R270" s="40">
        <f t="shared" si="51"/>
        <v>-1.523962463768776E-2</v>
      </c>
      <c r="S270" s="40">
        <f t="shared" si="47"/>
        <v>-1.9474027969749872E-2</v>
      </c>
      <c r="T270" s="40" t="e">
        <f t="shared" si="42"/>
        <v>#N/A</v>
      </c>
      <c r="U270" s="39">
        <f t="shared" si="48"/>
        <v>-4.6632994280231773E-5</v>
      </c>
      <c r="V270" s="139">
        <f t="shared" si="49"/>
        <v>19.530128248781189</v>
      </c>
    </row>
    <row r="271" spans="13:22">
      <c r="M271" s="38">
        <f t="shared" si="43"/>
        <v>26.000000000000099</v>
      </c>
      <c r="N271" s="39">
        <f t="shared" si="44"/>
        <v>-4.4173069716833508E-5</v>
      </c>
      <c r="O271" s="39">
        <f t="shared" si="45"/>
        <v>-3.7977404489395409E-3</v>
      </c>
      <c r="P271" s="39">
        <f t="shared" si="46"/>
        <v>4.791083377432077E-4</v>
      </c>
      <c r="Q271" s="39">
        <f t="shared" si="50"/>
        <v>-1.3740016096018598E-2</v>
      </c>
      <c r="R271" s="40">
        <f t="shared" si="51"/>
        <v>-1.3740016096018598E-2</v>
      </c>
      <c r="S271" s="40">
        <f t="shared" si="47"/>
        <v>-1.7557745949789833E-2</v>
      </c>
      <c r="T271" s="40" t="e">
        <f t="shared" si="42"/>
        <v>#N/A</v>
      </c>
      <c r="U271" s="39">
        <f t="shared" si="48"/>
        <v>-4.707609561296644E-4</v>
      </c>
      <c r="V271" s="139">
        <f t="shared" si="49"/>
        <v>19.530128248781189</v>
      </c>
    </row>
    <row r="272" spans="13:22">
      <c r="M272" s="38">
        <f t="shared" si="43"/>
        <v>26.100000000000101</v>
      </c>
      <c r="N272" s="39">
        <f t="shared" si="44"/>
        <v>-7.6130109569810966E-5</v>
      </c>
      <c r="O272" s="39">
        <f t="shared" si="45"/>
        <v>-3.3909786264045795E-3</v>
      </c>
      <c r="P272" s="39">
        <f t="shared" si="46"/>
        <v>4.6325131796250526E-4</v>
      </c>
      <c r="Q272" s="39">
        <f t="shared" si="50"/>
        <v>-1.2268374191044066E-2</v>
      </c>
      <c r="R272" s="40">
        <f t="shared" si="51"/>
        <v>-1.2268374191044066E-2</v>
      </c>
      <c r="S272" s="40">
        <f t="shared" si="47"/>
        <v>-1.5677201231643918E-2</v>
      </c>
      <c r="T272" s="40" t="e">
        <f t="shared" si="42"/>
        <v>#N/A</v>
      </c>
      <c r="U272" s="39">
        <f t="shared" si="48"/>
        <v>-8.1133331690739932E-4</v>
      </c>
      <c r="V272" s="139">
        <f t="shared" si="49"/>
        <v>19.530128248781189</v>
      </c>
    </row>
    <row r="273" spans="13:22">
      <c r="M273" s="38">
        <f t="shared" si="43"/>
        <v>26.200000000000102</v>
      </c>
      <c r="N273" s="39">
        <f t="shared" si="44"/>
        <v>-1.0108547331366918E-4</v>
      </c>
      <c r="O273" s="39">
        <f t="shared" si="45"/>
        <v>-2.99763540997821E-3</v>
      </c>
      <c r="P273" s="39">
        <f t="shared" si="46"/>
        <v>4.3810718878659738E-4</v>
      </c>
      <c r="Q273" s="39">
        <f t="shared" si="50"/>
        <v>-1.0845280065044175E-2</v>
      </c>
      <c r="R273" s="40">
        <f t="shared" si="51"/>
        <v>-1.0845280065044175E-2</v>
      </c>
      <c r="S273" s="40">
        <f t="shared" si="47"/>
        <v>-1.385869352740735E-2</v>
      </c>
      <c r="T273" s="40" t="e">
        <f t="shared" si="42"/>
        <v>#N/A</v>
      </c>
      <c r="U273" s="39">
        <f t="shared" si="48"/>
        <v>-1.0772874598259593E-3</v>
      </c>
      <c r="V273" s="139">
        <f t="shared" si="49"/>
        <v>19.530128248781189</v>
      </c>
    </row>
    <row r="274" spans="13:22">
      <c r="M274" s="38">
        <f t="shared" si="43"/>
        <v>26.300000000000104</v>
      </c>
      <c r="N274" s="39">
        <f t="shared" si="44"/>
        <v>-1.1985030185531398E-4</v>
      </c>
      <c r="O274" s="39">
        <f t="shared" si="45"/>
        <v>-2.622155381720052E-3</v>
      </c>
      <c r="P274" s="39">
        <f t="shared" si="46"/>
        <v>4.06426522165666E-4</v>
      </c>
      <c r="Q274" s="39">
        <f t="shared" si="50"/>
        <v>-9.4868139714907804E-3</v>
      </c>
      <c r="R274" s="40">
        <f t="shared" si="51"/>
        <v>-9.4868139714907804E-3</v>
      </c>
      <c r="S274" s="40">
        <f t="shared" si="47"/>
        <v>-1.2122771066666906E-2</v>
      </c>
      <c r="T274" s="40" t="e">
        <f t="shared" si="42"/>
        <v>#N/A</v>
      </c>
      <c r="U274" s="39">
        <f t="shared" si="48"/>
        <v>-1.2772678705717298E-3</v>
      </c>
      <c r="V274" s="139">
        <f t="shared" si="49"/>
        <v>19.530128248781189</v>
      </c>
    </row>
    <row r="275" spans="13:22">
      <c r="M275" s="38">
        <f t="shared" si="43"/>
        <v>26.400000000000105</v>
      </c>
      <c r="N275" s="39">
        <f t="shared" si="44"/>
        <v>-1.3319905366556073E-4</v>
      </c>
      <c r="O275" s="39">
        <f t="shared" si="45"/>
        <v>-2.2678830168458394E-3</v>
      </c>
      <c r="P275" s="39">
        <f t="shared" si="46"/>
        <v>3.7053155003143637E-4</v>
      </c>
      <c r="Q275" s="39">
        <f t="shared" si="50"/>
        <v>-8.2050760377924727E-3</v>
      </c>
      <c r="R275" s="40">
        <f t="shared" si="51"/>
        <v>-8.2050760377924727E-3</v>
      </c>
      <c r="S275" s="40">
        <f t="shared" si="47"/>
        <v>-1.0484896055690427E-2</v>
      </c>
      <c r="T275" s="40" t="e">
        <f t="shared" ref="T275:T331" si="52">IF(N275=MAX($N$9:$N$331),N275,#N/A)</f>
        <v>#N/A</v>
      </c>
      <c r="U275" s="39">
        <f t="shared" si="48"/>
        <v>-1.419528103007752E-3</v>
      </c>
      <c r="V275" s="139">
        <f t="shared" si="49"/>
        <v>19.530128248781189</v>
      </c>
    </row>
    <row r="276" spans="13:22">
      <c r="M276" s="38">
        <f t="shared" si="43"/>
        <v>26.500000000000107</v>
      </c>
      <c r="N276" s="39">
        <f t="shared" si="44"/>
        <v>-1.4186257775563248E-4</v>
      </c>
      <c r="O276" s="39">
        <f t="shared" si="45"/>
        <v>-1.9372001406371222E-3</v>
      </c>
      <c r="P276" s="39">
        <f t="shared" si="46"/>
        <v>3.323468365363496E-4</v>
      </c>
      <c r="Q276" s="39">
        <f t="shared" si="50"/>
        <v>-7.0086835768347405E-3</v>
      </c>
      <c r="R276" s="40">
        <f t="shared" si="51"/>
        <v>-7.0086835768347405E-3</v>
      </c>
      <c r="S276" s="40">
        <f t="shared" si="47"/>
        <v>-8.9560801693810543E-3</v>
      </c>
      <c r="T276" s="40" t="e">
        <f t="shared" si="52"/>
        <v>#N/A</v>
      </c>
      <c r="U276" s="39">
        <f t="shared" si="48"/>
        <v>-1.5118569565431526E-3</v>
      </c>
      <c r="V276" s="139">
        <f t="shared" si="49"/>
        <v>19.530128248781189</v>
      </c>
    </row>
    <row r="277" spans="13:22">
      <c r="M277" s="38">
        <f t="shared" si="43"/>
        <v>26.600000000000108</v>
      </c>
      <c r="N277" s="39">
        <f t="shared" si="44"/>
        <v>-1.4652317500060406E-4</v>
      </c>
      <c r="O277" s="39">
        <f t="shared" si="45"/>
        <v>-1.63165566886233E-3</v>
      </c>
      <c r="P277" s="39">
        <f t="shared" si="46"/>
        <v>2.9343414587764001E-4</v>
      </c>
      <c r="Q277" s="39">
        <f t="shared" si="50"/>
        <v>-5.9032404806886032E-3</v>
      </c>
      <c r="R277" s="40">
        <f t="shared" si="51"/>
        <v>-5.9032404806886032E-3</v>
      </c>
      <c r="S277" s="40">
        <f t="shared" si="47"/>
        <v>-7.5434843682955621E-3</v>
      </c>
      <c r="T277" s="40" t="e">
        <f t="shared" si="52"/>
        <v>#N/A</v>
      </c>
      <c r="U277" s="39">
        <f t="shared" si="48"/>
        <v>-1.5615258437009314E-3</v>
      </c>
      <c r="V277" s="139">
        <f t="shared" si="49"/>
        <v>19.530128248781189</v>
      </c>
    </row>
    <row r="278" spans="13:22">
      <c r="M278" s="38">
        <f t="shared" si="43"/>
        <v>26.700000000000109</v>
      </c>
      <c r="N278" s="39">
        <f t="shared" si="44"/>
        <v>-1.478113801622885E-4</v>
      </c>
      <c r="O278" s="39">
        <f t="shared" si="45"/>
        <v>-1.3520867505392498E-3</v>
      </c>
      <c r="P278" s="39">
        <f t="shared" si="46"/>
        <v>2.5502961366183943E-4</v>
      </c>
      <c r="Q278" s="39">
        <f t="shared" si="50"/>
        <v>-4.8917755084632777E-3</v>
      </c>
      <c r="R278" s="40">
        <f t="shared" si="51"/>
        <v>-4.8917755084632777E-3</v>
      </c>
      <c r="S278" s="40">
        <f t="shared" si="47"/>
        <v>-6.2509789668943588E-3</v>
      </c>
      <c r="T278" s="40" t="e">
        <f t="shared" si="52"/>
        <v>#N/A</v>
      </c>
      <c r="U278" s="39">
        <f t="shared" si="48"/>
        <v>-1.5752544955128438E-3</v>
      </c>
      <c r="V278" s="139">
        <f t="shared" si="49"/>
        <v>19.530128248781189</v>
      </c>
    </row>
    <row r="279" spans="13:22">
      <c r="M279" s="38">
        <f t="shared" si="43"/>
        <v>26.800000000000111</v>
      </c>
      <c r="N279" s="39">
        <f t="shared" si="44"/>
        <v>-1.4630421465798574E-4</v>
      </c>
      <c r="O279" s="39">
        <f t="shared" si="45"/>
        <v>-1.098730737761331E-3</v>
      </c>
      <c r="P279" s="39">
        <f t="shared" si="46"/>
        <v>2.1808168498486439E-4</v>
      </c>
      <c r="Q279" s="39">
        <f t="shared" si="50"/>
        <v>-3.9751473869802136E-3</v>
      </c>
      <c r="R279" s="40">
        <f t="shared" si="51"/>
        <v>-3.9751473869802136E-3</v>
      </c>
      <c r="S279" s="40">
        <f t="shared" si="47"/>
        <v>-5.0796612933949655E-3</v>
      </c>
      <c r="T279" s="40" t="e">
        <f t="shared" si="52"/>
        <v>#N/A</v>
      </c>
      <c r="U279" s="39">
        <f t="shared" si="48"/>
        <v>-1.5591923409376811E-3</v>
      </c>
      <c r="V279" s="139">
        <f t="shared" si="49"/>
        <v>19.530128248781189</v>
      </c>
    </row>
    <row r="280" spans="13:22">
      <c r="M280" s="38">
        <f t="shared" si="43"/>
        <v>26.900000000000112</v>
      </c>
      <c r="N280" s="39">
        <f t="shared" si="44"/>
        <v>-1.4252467901053741E-4</v>
      </c>
      <c r="O280" s="39">
        <f t="shared" si="45"/>
        <v>-8.7132766882433465E-4</v>
      </c>
      <c r="P280" s="39">
        <f t="shared" si="46"/>
        <v>1.8328860144025975E-4</v>
      </c>
      <c r="Q280" s="39">
        <f t="shared" si="50"/>
        <v>-3.1524155890894886E-3</v>
      </c>
      <c r="R280" s="40">
        <f t="shared" si="51"/>
        <v>-3.1524155890894886E-3</v>
      </c>
      <c r="S280" s="40">
        <f t="shared" si="47"/>
        <v>-4.0283294906349265E-3</v>
      </c>
      <c r="T280" s="40" t="e">
        <f t="shared" si="52"/>
        <v>#N/A</v>
      </c>
      <c r="U280" s="39">
        <f t="shared" si="48"/>
        <v>-1.5189130978032405E-3</v>
      </c>
      <c r="V280" s="139">
        <f t="shared" si="49"/>
        <v>19.530128248781189</v>
      </c>
    </row>
    <row r="281" spans="13:22">
      <c r="M281" s="38">
        <f t="shared" si="43"/>
        <v>27.000000000000114</v>
      </c>
      <c r="N281" s="39">
        <f t="shared" si="44"/>
        <v>-1.3694227345882132E-4</v>
      </c>
      <c r="O281" s="39">
        <f t="shared" si="45"/>
        <v>-6.6921317137125897E-4</v>
      </c>
      <c r="P281" s="39">
        <f t="shared" si="46"/>
        <v>1.5113450131977151E-4</v>
      </c>
      <c r="Q281" s="39">
        <f t="shared" si="50"/>
        <v>-2.4211764521391427E-3</v>
      </c>
      <c r="R281" s="40">
        <f t="shared" si="51"/>
        <v>-2.4211764521391427E-3</v>
      </c>
      <c r="S281" s="40">
        <f t="shared" si="47"/>
        <v>-3.0939120266817335E-3</v>
      </c>
      <c r="T281" s="40" t="e">
        <f t="shared" si="52"/>
        <v>#N/A</v>
      </c>
      <c r="U281" s="39">
        <f t="shared" si="48"/>
        <v>-1.4594203210531579E-3</v>
      </c>
      <c r="V281" s="139">
        <f t="shared" si="49"/>
        <v>19.530128248781189</v>
      </c>
    </row>
    <row r="282" spans="13:22">
      <c r="M282" s="38">
        <f t="shared" si="43"/>
        <v>27.100000000000115</v>
      </c>
      <c r="N282" s="39">
        <f t="shared" si="44"/>
        <v>-1.2997435495054559E-4</v>
      </c>
      <c r="O282" s="39">
        <f t="shared" si="45"/>
        <v>-4.914018751878917E-4</v>
      </c>
      <c r="P282" s="39">
        <f t="shared" si="46"/>
        <v>1.2192344273224487E-4</v>
      </c>
      <c r="Q282" s="39">
        <f t="shared" si="50"/>
        <v>-1.7778649608823868E-3</v>
      </c>
      <c r="R282" s="40">
        <f t="shared" si="51"/>
        <v>-1.7778649608823868E-3</v>
      </c>
      <c r="S282" s="40">
        <f t="shared" si="47"/>
        <v>-2.2718533295787873E-3</v>
      </c>
      <c r="T282" s="40" t="e">
        <f t="shared" si="52"/>
        <v>#N/A</v>
      </c>
      <c r="U282" s="39">
        <f t="shared" si="48"/>
        <v>-1.3851618644818357E-3</v>
      </c>
      <c r="V282" s="139">
        <f t="shared" si="49"/>
        <v>19.530128248781189</v>
      </c>
    </row>
    <row r="283" spans="13:22">
      <c r="M283" s="38">
        <f t="shared" si="43"/>
        <v>27.200000000000117</v>
      </c>
      <c r="N283" s="39">
        <f t="shared" si="44"/>
        <v>-1.2198815830277062E-4</v>
      </c>
      <c r="O283" s="39">
        <f t="shared" si="45"/>
        <v>-3.3666157312917832E-4</v>
      </c>
      <c r="P283" s="39">
        <f t="shared" si="46"/>
        <v>9.5810869558051262E-5</v>
      </c>
      <c r="Q283" s="39">
        <f t="shared" si="50"/>
        <v>-1.2180230576308911E-3</v>
      </c>
      <c r="R283" s="40">
        <f t="shared" si="51"/>
        <v>-1.2180230576308911E-3</v>
      </c>
      <c r="S283" s="40">
        <f t="shared" si="47"/>
        <v>-1.5564566487710509E-3</v>
      </c>
      <c r="T283" s="40" t="e">
        <f t="shared" si="52"/>
        <v>#N/A</v>
      </c>
      <c r="U283" s="39">
        <f t="shared" si="48"/>
        <v>-1.3000514206334348E-3</v>
      </c>
      <c r="V283" s="139">
        <f t="shared" si="49"/>
        <v>19.530128248781189</v>
      </c>
    </row>
    <row r="284" spans="13:22">
      <c r="M284" s="38">
        <f t="shared" si="43"/>
        <v>27.300000000000118</v>
      </c>
      <c r="N284" s="39">
        <f t="shared" si="44"/>
        <v>-1.1330332839215415E-4</v>
      </c>
      <c r="O284" s="39">
        <f t="shared" si="45"/>
        <v>-2.0357848690857462E-4</v>
      </c>
      <c r="P284" s="39">
        <f t="shared" si="46"/>
        <v>7.2832217078361468E-5</v>
      </c>
      <c r="Q284" s="39">
        <f t="shared" si="50"/>
        <v>-7.3653577029151457E-4</v>
      </c>
      <c r="R284" s="40">
        <f t="shared" si="51"/>
        <v>-7.3653577029151457E-4</v>
      </c>
      <c r="S284" s="40">
        <f t="shared" si="47"/>
        <v>-9.4118579245758022E-4</v>
      </c>
      <c r="T284" s="40" t="e">
        <f t="shared" si="52"/>
        <v>#N/A</v>
      </c>
      <c r="U284" s="39">
        <f t="shared" si="48"/>
        <v>-1.2074955068435611E-3</v>
      </c>
      <c r="V284" s="139">
        <f t="shared" si="49"/>
        <v>19.530128248781189</v>
      </c>
    </row>
    <row r="285" spans="13:22">
      <c r="M285" s="38">
        <f t="shared" si="43"/>
        <v>27.400000000000119</v>
      </c>
      <c r="N285" s="39">
        <f t="shared" si="44"/>
        <v>-1.04194828581834E-4</v>
      </c>
      <c r="O285" s="39">
        <f t="shared" si="45"/>
        <v>-9.0614085523282206E-5</v>
      </c>
      <c r="P285" s="39">
        <f t="shared" si="46"/>
        <v>5.2928500249066013E-5</v>
      </c>
      <c r="Q285" s="39">
        <f t="shared" si="50"/>
        <v>-3.278367783042048E-4</v>
      </c>
      <c r="R285" s="40">
        <f t="shared" si="51"/>
        <v>-3.278367783042048E-4</v>
      </c>
      <c r="S285" s="40">
        <f t="shared" si="47"/>
        <v>-4.1892781101841061E-4</v>
      </c>
      <c r="T285" s="40" t="e">
        <f t="shared" si="52"/>
        <v>#N/A</v>
      </c>
      <c r="U285" s="39">
        <f t="shared" si="48"/>
        <v>-1.1104244609076448E-3</v>
      </c>
      <c r="V285" s="139">
        <f t="shared" si="49"/>
        <v>19.530128248781189</v>
      </c>
    </row>
    <row r="286" spans="13:22">
      <c r="M286" s="38">
        <f t="shared" si="43"/>
        <v>27.500000000000121</v>
      </c>
      <c r="N286" s="39">
        <f t="shared" si="44"/>
        <v>-9.4896108016668114E-5</v>
      </c>
      <c r="O286" s="39">
        <f t="shared" si="45"/>
        <v>3.8460288266357451E-6</v>
      </c>
      <c r="P286" s="39">
        <f t="shared" si="46"/>
        <v>3.596884570766816E-5</v>
      </c>
      <c r="Q286" s="39">
        <f t="shared" si="50"/>
        <v>1.3914720791012103E-5</v>
      </c>
      <c r="R286" s="40">
        <f t="shared" si="51"/>
        <v>1.3914720791012103E-5</v>
      </c>
      <c r="S286" s="40">
        <f t="shared" si="47"/>
        <v>1.7780993188329843E-5</v>
      </c>
      <c r="T286" s="40" t="e">
        <f t="shared" si="52"/>
        <v>#N/A</v>
      </c>
      <c r="U286" s="39">
        <f t="shared" si="48"/>
        <v>-1.0113261955595181E-3</v>
      </c>
      <c r="V286" s="139">
        <f t="shared" si="49"/>
        <v>19.530128248781189</v>
      </c>
    </row>
    <row r="287" spans="13:22">
      <c r="M287" s="38">
        <f t="shared" si="43"/>
        <v>27.600000000000122</v>
      </c>
      <c r="N287" s="39">
        <f t="shared" si="44"/>
        <v>-8.5602426784175476E-5</v>
      </c>
      <c r="O287" s="39">
        <f t="shared" si="45"/>
        <v>8.1450606244739578E-5</v>
      </c>
      <c r="P287" s="39">
        <f t="shared" si="46"/>
        <v>2.1770021646190147E-5</v>
      </c>
      <c r="Q287" s="39">
        <f t="shared" si="50"/>
        <v>2.9468381419949196E-4</v>
      </c>
      <c r="R287" s="40">
        <f t="shared" si="51"/>
        <v>2.9468381419949196E-4</v>
      </c>
      <c r="S287" s="40">
        <f t="shared" si="47"/>
        <v>3.7656313566684961E-4</v>
      </c>
      <c r="T287" s="40" t="e">
        <f t="shared" si="52"/>
        <v>#N/A</v>
      </c>
      <c r="U287" s="39">
        <f t="shared" si="48"/>
        <v>-9.122816353553337E-4</v>
      </c>
      <c r="V287" s="139">
        <f t="shared" si="49"/>
        <v>19.530128248781189</v>
      </c>
    </row>
    <row r="288" spans="13:22">
      <c r="M288" s="38">
        <f t="shared" si="43"/>
        <v>27.700000000000124</v>
      </c>
      <c r="N288" s="39">
        <f t="shared" si="44"/>
        <v>-7.6474253149148765E-5</v>
      </c>
      <c r="O288" s="39">
        <f t="shared" si="45"/>
        <v>1.4384801672455633E-4</v>
      </c>
      <c r="P288" s="39">
        <f t="shared" si="46"/>
        <v>1.0113090634387893E-5</v>
      </c>
      <c r="Q288" s="39">
        <f t="shared" si="50"/>
        <v>5.2043421390939341E-4</v>
      </c>
      <c r="R288" s="40">
        <f t="shared" si="51"/>
        <v>5.2043421390939341E-4</v>
      </c>
      <c r="S288" s="40">
        <f t="shared" si="47"/>
        <v>6.6503937459341811E-4</v>
      </c>
      <c r="T288" s="40" t="e">
        <f t="shared" si="52"/>
        <v>#N/A</v>
      </c>
      <c r="U288" s="39">
        <f t="shared" si="48"/>
        <v>-8.1500092166055524E-4</v>
      </c>
      <c r="V288" s="139">
        <f t="shared" si="49"/>
        <v>19.530128248781189</v>
      </c>
    </row>
    <row r="289" spans="13:22">
      <c r="M289" s="38">
        <f t="shared" si="43"/>
        <v>27.800000000000125</v>
      </c>
      <c r="N289" s="39">
        <f t="shared" si="44"/>
        <v>-6.7640661066645553E-5</v>
      </c>
      <c r="O289" s="39">
        <f t="shared" si="45"/>
        <v>1.926576974610821E-4</v>
      </c>
      <c r="P289" s="39">
        <f t="shared" si="46"/>
        <v>7.5736226635005697E-7</v>
      </c>
      <c r="Q289" s="39">
        <f t="shared" si="50"/>
        <v>6.9702495463488468E-4</v>
      </c>
      <c r="R289" s="40">
        <f t="shared" si="51"/>
        <v>6.9702495463488468E-4</v>
      </c>
      <c r="S289" s="40">
        <f t="shared" si="47"/>
        <v>8.9069670578401344E-4</v>
      </c>
      <c r="T289" s="40" t="e">
        <f t="shared" si="52"/>
        <v>#N/A</v>
      </c>
      <c r="U289" s="39">
        <f t="shared" si="48"/>
        <v>-7.2085962060368261E-4</v>
      </c>
      <c r="V289" s="139">
        <f t="shared" si="49"/>
        <v>19.530128248781189</v>
      </c>
    </row>
    <row r="290" spans="13:22">
      <c r="M290" s="38">
        <f t="shared" si="43"/>
        <v>27.900000000000126</v>
      </c>
      <c r="N290" s="39">
        <f t="shared" si="44"/>
        <v>-5.9202668933690802E-5</v>
      </c>
      <c r="O290" s="39">
        <f t="shared" si="45"/>
        <v>2.2944717729452165E-4</v>
      </c>
      <c r="P290" s="39">
        <f t="shared" si="46"/>
        <v>-6.5481420587377123E-6</v>
      </c>
      <c r="Q290" s="39">
        <f t="shared" si="50"/>
        <v>8.3012726951708265E-4</v>
      </c>
      <c r="R290" s="40">
        <f t="shared" si="51"/>
        <v>8.3012726951708265E-4</v>
      </c>
      <c r="S290" s="40">
        <f t="shared" si="47"/>
        <v>1.0607821419071736E-3</v>
      </c>
      <c r="T290" s="40" t="e">
        <f t="shared" si="52"/>
        <v>#N/A</v>
      </c>
      <c r="U290" s="39">
        <f t="shared" si="48"/>
        <v>-6.309343047995467E-4</v>
      </c>
      <c r="V290" s="139">
        <f t="shared" si="49"/>
        <v>19.530128248781189</v>
      </c>
    </row>
    <row r="291" spans="13:22">
      <c r="M291" s="38">
        <f t="shared" si="43"/>
        <v>28.000000000000128</v>
      </c>
      <c r="N291" s="39">
        <f t="shared" si="44"/>
        <v>-5.1236472053629091E-5</v>
      </c>
      <c r="O291" s="39">
        <f t="shared" si="45"/>
        <v>2.5571408596009113E-4</v>
      </c>
      <c r="P291" s="39">
        <f t="shared" si="46"/>
        <v>-1.2055478183435718E-5</v>
      </c>
      <c r="Q291" s="39">
        <f t="shared" si="50"/>
        <v>9.2515950057920097E-4</v>
      </c>
      <c r="R291" s="40">
        <f t="shared" si="51"/>
        <v>9.2515950057920097E-4</v>
      </c>
      <c r="S291" s="40">
        <f t="shared" si="47"/>
        <v>1.1822195374946423E-3</v>
      </c>
      <c r="T291" s="40" t="e">
        <f t="shared" si="52"/>
        <v>#N/A</v>
      </c>
      <c r="U291" s="39">
        <f t="shared" si="48"/>
        <v>-5.460370023477345E-4</v>
      </c>
      <c r="V291" s="139">
        <f t="shared" si="49"/>
        <v>19.530128248781189</v>
      </c>
    </row>
    <row r="292" spans="13:22">
      <c r="M292" s="38">
        <f t="shared" si="43"/>
        <v>28.100000000000129</v>
      </c>
      <c r="N292" s="39">
        <f t="shared" si="44"/>
        <v>-4.379653157949269E-5</v>
      </c>
      <c r="O292" s="39">
        <f t="shared" si="45"/>
        <v>2.7287257454416492E-4</v>
      </c>
      <c r="P292" s="39">
        <f t="shared" si="46"/>
        <v>-1.6010577576187934E-5</v>
      </c>
      <c r="Q292" s="39">
        <f t="shared" si="50"/>
        <v>9.8723796868366472E-4</v>
      </c>
      <c r="R292" s="40">
        <f t="shared" si="51"/>
        <v>9.8723796868366472E-4</v>
      </c>
      <c r="S292" s="40">
        <f t="shared" si="47"/>
        <v>1.2615468078787098E-3</v>
      </c>
      <c r="T292" s="40" t="e">
        <f t="shared" si="52"/>
        <v>#N/A</v>
      </c>
      <c r="U292" s="39">
        <f t="shared" si="48"/>
        <v>-4.6674811630009972E-4</v>
      </c>
      <c r="V292" s="139">
        <f t="shared" si="49"/>
        <v>19.530128248781189</v>
      </c>
    </row>
    <row r="293" spans="13:22">
      <c r="M293" s="38">
        <f t="shared" si="43"/>
        <v>28.200000000000131</v>
      </c>
      <c r="N293" s="39">
        <f t="shared" si="44"/>
        <v>-3.6918491812349771E-5</v>
      </c>
      <c r="O293" s="39">
        <f t="shared" si="45"/>
        <v>2.8224359890441668E-4</v>
      </c>
      <c r="P293" s="39">
        <f t="shared" si="46"/>
        <v>-1.8647809178355549E-5</v>
      </c>
      <c r="Q293" s="39">
        <f t="shared" si="50"/>
        <v>1.0211418194805235E-3</v>
      </c>
      <c r="R293" s="40">
        <f t="shared" si="51"/>
        <v>1.0211418194805235E-3</v>
      </c>
      <c r="S293" s="40">
        <f t="shared" si="47"/>
        <v>1.3048710074175529E-3</v>
      </c>
      <c r="T293" s="40" t="e">
        <f t="shared" si="52"/>
        <v>#N/A</v>
      </c>
      <c r="U293" s="39">
        <f t="shared" si="48"/>
        <v>-3.9344751487406504E-4</v>
      </c>
      <c r="V293" s="139">
        <f t="shared" si="49"/>
        <v>19.530128248781189</v>
      </c>
    </row>
    <row r="294" spans="13:22">
      <c r="M294" s="38">
        <f t="shared" si="43"/>
        <v>28.300000000000132</v>
      </c>
      <c r="N294" s="39">
        <f t="shared" si="44"/>
        <v>-3.0621905709422565E-5</v>
      </c>
      <c r="O294" s="39">
        <f t="shared" si="45"/>
        <v>2.8504854818111886E-4</v>
      </c>
      <c r="P294" s="39">
        <f t="shared" si="46"/>
        <v>-2.0186064554435497E-5</v>
      </c>
      <c r="Q294" s="39">
        <f t="shared" si="50"/>
        <v>1.0312899717117182E-3</v>
      </c>
      <c r="R294" s="40">
        <f t="shared" si="51"/>
        <v>1.0312899717117182E-3</v>
      </c>
      <c r="S294" s="40">
        <f t="shared" si="47"/>
        <v>1.3178388727744746E-3</v>
      </c>
      <c r="T294" s="40" t="e">
        <f t="shared" si="52"/>
        <v>#N/A</v>
      </c>
      <c r="U294" s="39">
        <f t="shared" si="48"/>
        <v>-3.2634357772031152E-4</v>
      </c>
      <c r="V294" s="139">
        <f t="shared" si="49"/>
        <v>19.530128248781189</v>
      </c>
    </row>
    <row r="295" spans="13:22">
      <c r="M295" s="38">
        <f t="shared" si="43"/>
        <v>28.400000000000134</v>
      </c>
      <c r="N295" s="39">
        <f t="shared" si="44"/>
        <v>-2.4912755367254529E-5</v>
      </c>
      <c r="O295" s="39">
        <f t="shared" si="45"/>
        <v>2.8240573449030056E-4</v>
      </c>
      <c r="P295" s="39">
        <f t="shared" si="46"/>
        <v>-2.082613726984274E-5</v>
      </c>
      <c r="Q295" s="39">
        <f t="shared" si="50"/>
        <v>1.0217284171139675E-3</v>
      </c>
      <c r="R295" s="40">
        <f t="shared" si="51"/>
        <v>1.0217284171139675E-3</v>
      </c>
      <c r="S295" s="40">
        <f t="shared" si="47"/>
        <v>1.3056205940374507E-3</v>
      </c>
      <c r="T295" s="40" t="e">
        <f t="shared" si="52"/>
        <v>#N/A</v>
      </c>
      <c r="U295" s="39">
        <f t="shared" si="48"/>
        <v>-2.6550005719987066E-4</v>
      </c>
      <c r="V295" s="139">
        <f t="shared" si="49"/>
        <v>19.530128248781189</v>
      </c>
    </row>
    <row r="296" spans="13:22">
      <c r="M296" s="38">
        <f t="shared" si="43"/>
        <v>28.500000000000135</v>
      </c>
      <c r="N296" s="39">
        <f t="shared" si="44"/>
        <v>-1.978576015726549E-5</v>
      </c>
      <c r="O296" s="39">
        <f t="shared" si="45"/>
        <v>2.753292962185132E-4</v>
      </c>
      <c r="P296" s="39">
        <f t="shared" si="46"/>
        <v>-2.0749182379263039E-5</v>
      </c>
      <c r="Q296" s="39">
        <f t="shared" si="50"/>
        <v>9.9612625259954128E-4</v>
      </c>
      <c r="R296" s="40">
        <f t="shared" si="51"/>
        <v>9.9612625259954128E-4</v>
      </c>
      <c r="S296" s="40">
        <f t="shared" si="47"/>
        <v>1.2729047444221598E-3</v>
      </c>
      <c r="T296" s="40" t="e">
        <f t="shared" si="52"/>
        <v>#N/A</v>
      </c>
      <c r="U296" s="39">
        <f t="shared" si="48"/>
        <v>-2.108606766316038E-4</v>
      </c>
      <c r="V296" s="139">
        <f t="shared" si="49"/>
        <v>19.530128248781189</v>
      </c>
    </row>
    <row r="297" spans="13:22">
      <c r="M297" s="38">
        <f t="shared" si="43"/>
        <v>28.600000000000136</v>
      </c>
      <c r="N297" s="39">
        <f t="shared" si="44"/>
        <v>-1.5226470179455519E-5</v>
      </c>
      <c r="O297" s="39">
        <f t="shared" si="45"/>
        <v>2.6473010498234044E-4</v>
      </c>
      <c r="P297" s="39">
        <f t="shared" si="46"/>
        <v>-2.0116059470770548E-5</v>
      </c>
      <c r="Q297" s="39">
        <f t="shared" si="50"/>
        <v>9.577789615858917E-4</v>
      </c>
      <c r="R297" s="40">
        <f t="shared" si="51"/>
        <v>9.577789615858917E-4</v>
      </c>
      <c r="S297" s="40">
        <f t="shared" si="47"/>
        <v>1.2239024733349071E-3</v>
      </c>
      <c r="T297" s="40" t="e">
        <f t="shared" si="52"/>
        <v>#N/A</v>
      </c>
      <c r="U297" s="39">
        <f t="shared" si="48"/>
        <v>-1.62271440633629E-4</v>
      </c>
      <c r="V297" s="139">
        <f t="shared" si="49"/>
        <v>19.530128248781189</v>
      </c>
    </row>
    <row r="298" spans="13:22">
      <c r="M298" s="38">
        <f t="shared" si="43"/>
        <v>28.700000000000138</v>
      </c>
      <c r="N298" s="39">
        <f t="shared" si="44"/>
        <v>-1.1213146842360461E-5</v>
      </c>
      <c r="O298" s="39">
        <f t="shared" si="45"/>
        <v>2.5141830438629075E-4</v>
      </c>
      <c r="P298" s="39">
        <f t="shared" si="46"/>
        <v>-1.9067381815122612E-5</v>
      </c>
      <c r="Q298" s="39">
        <f t="shared" si="50"/>
        <v>9.0961759908209387E-4</v>
      </c>
      <c r="R298" s="40">
        <f t="shared" si="51"/>
        <v>9.0961759908209387E-4</v>
      </c>
      <c r="S298" s="40">
        <f t="shared" si="47"/>
        <v>1.1623592435797074E-3</v>
      </c>
      <c r="T298" s="40" t="e">
        <f t="shared" si="52"/>
        <v>#N/A</v>
      </c>
      <c r="U298" s="39">
        <f t="shared" si="48"/>
        <v>-1.1950067682799781E-4</v>
      </c>
      <c r="V298" s="139">
        <f t="shared" si="49"/>
        <v>19.530128248781189</v>
      </c>
    </row>
    <row r="299" spans="13:22">
      <c r="M299" s="38">
        <f t="shared" si="43"/>
        <v>28.800000000000139</v>
      </c>
      <c r="N299" s="39">
        <f t="shared" si="44"/>
        <v>-7.7184357520786815E-6</v>
      </c>
      <c r="O299" s="39">
        <f t="shared" si="45"/>
        <v>2.3610714647344684E-4</v>
      </c>
      <c r="P299" s="39">
        <f t="shared" si="46"/>
        <v>-1.7724113946762292E-5</v>
      </c>
      <c r="Q299" s="39">
        <f t="shared" si="50"/>
        <v>8.5422267175632003E-4</v>
      </c>
      <c r="R299" s="40">
        <f t="shared" si="51"/>
        <v>8.5422267175632003E-4</v>
      </c>
      <c r="S299" s="40">
        <f t="shared" si="47"/>
        <v>1.0915725680695646E-3</v>
      </c>
      <c r="T299" s="40" t="e">
        <f t="shared" si="52"/>
        <v>#N/A</v>
      </c>
      <c r="U299" s="39">
        <f t="shared" si="48"/>
        <v>-8.2256864142934435E-5</v>
      </c>
      <c r="V299" s="139">
        <f t="shared" si="49"/>
        <v>19.530128248781189</v>
      </c>
    </row>
    <row r="300" spans="13:22">
      <c r="M300" s="38">
        <f t="shared" si="43"/>
        <v>28.900000000000141</v>
      </c>
      <c r="N300" s="39">
        <f t="shared" si="44"/>
        <v>-4.7108397781098008E-6</v>
      </c>
      <c r="O300" s="39">
        <f t="shared" si="45"/>
        <v>2.1941782861358388E-4</v>
      </c>
      <c r="P300" s="39">
        <f t="shared" si="46"/>
        <v>-1.6188579757761118E-5</v>
      </c>
      <c r="Q300" s="39">
        <f t="shared" si="50"/>
        <v>7.9384163753105604E-4</v>
      </c>
      <c r="R300" s="40">
        <f t="shared" si="51"/>
        <v>7.9384163753105604E-4</v>
      </c>
      <c r="S300" s="40">
        <f t="shared" si="47"/>
        <v>1.014414371768765E-3</v>
      </c>
      <c r="T300" s="40" t="e">
        <f t="shared" si="52"/>
        <v>#N/A</v>
      </c>
      <c r="U300" s="39">
        <f t="shared" si="48"/>
        <v>-5.0204331560672834E-5</v>
      </c>
      <c r="V300" s="139">
        <f t="shared" si="49"/>
        <v>19.530128248781189</v>
      </c>
    </row>
    <row r="301" spans="13:22">
      <c r="M301" s="38">
        <f t="shared" si="43"/>
        <v>29.000000000000142</v>
      </c>
      <c r="N301" s="39">
        <f t="shared" si="44"/>
        <v>-2.1560022348662022E-6</v>
      </c>
      <c r="O301" s="39">
        <f t="shared" si="45"/>
        <v>2.0188506903544786E-4</v>
      </c>
      <c r="P301" s="39">
        <f t="shared" si="46"/>
        <v>-1.4545762377449279E-5</v>
      </c>
      <c r="Q301" s="39">
        <f t="shared" si="50"/>
        <v>7.3040907755227158E-4</v>
      </c>
      <c r="R301" s="40">
        <f t="shared" si="51"/>
        <v>7.3040907755227158E-4</v>
      </c>
      <c r="S301" s="40">
        <f t="shared" si="47"/>
        <v>9.3335676854113653E-4</v>
      </c>
      <c r="T301" s="40" t="e">
        <f t="shared" si="52"/>
        <v>#N/A</v>
      </c>
      <c r="U301" s="39">
        <f t="shared" si="48"/>
        <v>-2.2976933231256153E-5</v>
      </c>
      <c r="V301" s="139">
        <f t="shared" si="49"/>
        <v>19.530128248781189</v>
      </c>
    </row>
    <row r="302" spans="13:22">
      <c r="M302" s="38">
        <f t="shared" si="43"/>
        <v>29.100000000000144</v>
      </c>
      <c r="N302" s="39">
        <f t="shared" si="44"/>
        <v>-1.7811648159823035E-8</v>
      </c>
      <c r="O302" s="39">
        <f t="shared" si="45"/>
        <v>1.8396319291452329E-4</v>
      </c>
      <c r="P302" s="39">
        <f t="shared" si="46"/>
        <v>-1.286479533331704E-5</v>
      </c>
      <c r="Q302" s="39">
        <f t="shared" si="50"/>
        <v>6.6556871532027237E-4</v>
      </c>
      <c r="R302" s="40">
        <f t="shared" si="51"/>
        <v>6.6556871532027237E-4</v>
      </c>
      <c r="S302" s="40">
        <f t="shared" si="47"/>
        <v>8.5050019840278912E-4</v>
      </c>
      <c r="T302" s="40" t="e">
        <f t="shared" si="52"/>
        <v>#N/A</v>
      </c>
      <c r="U302" s="39">
        <f t="shared" si="48"/>
        <v>-1.8982218287555632E-7</v>
      </c>
      <c r="V302" s="139">
        <f t="shared" si="49"/>
        <v>19.530128248781189</v>
      </c>
    </row>
    <row r="303" spans="13:22">
      <c r="M303" s="38">
        <f t="shared" si="43"/>
        <v>29.200000000000145</v>
      </c>
      <c r="N303" s="39">
        <f t="shared" si="44"/>
        <v>1.7406593647382109E-6</v>
      </c>
      <c r="O303" s="39">
        <f t="shared" si="45"/>
        <v>1.6603253260203435E-4</v>
      </c>
      <c r="P303" s="39">
        <f t="shared" si="46"/>
        <v>-1.1200561453954158E-5</v>
      </c>
      <c r="Q303" s="39">
        <f t="shared" si="50"/>
        <v>6.0069657236626025E-4</v>
      </c>
      <c r="R303" s="40">
        <f t="shared" si="51"/>
        <v>6.0069657236626025E-4</v>
      </c>
      <c r="S303" s="40">
        <f t="shared" si="47"/>
        <v>7.676030171152767E-4</v>
      </c>
      <c r="T303" s="40" t="e">
        <f t="shared" si="52"/>
        <v>#N/A</v>
      </c>
      <c r="U303" s="39">
        <f t="shared" si="48"/>
        <v>1.855054385156175E-5</v>
      </c>
      <c r="V303" s="139">
        <f t="shared" si="49"/>
        <v>19.530128248781189</v>
      </c>
    </row>
    <row r="304" spans="13:22">
      <c r="M304" s="38">
        <f t="shared" si="43"/>
        <v>29.300000000000146</v>
      </c>
      <c r="N304" s="39">
        <f t="shared" si="44"/>
        <v>3.1563679193795264E-6</v>
      </c>
      <c r="O304" s="39">
        <f t="shared" si="45"/>
        <v>1.4840597503603718E-4</v>
      </c>
      <c r="P304" s="39">
        <f t="shared" si="46"/>
        <v>-9.5953314920750502E-6</v>
      </c>
      <c r="Q304" s="39">
        <f t="shared" si="50"/>
        <v>5.3692465642560488E-4</v>
      </c>
      <c r="R304" s="40">
        <f t="shared" si="51"/>
        <v>5.3692465642560488E-4</v>
      </c>
      <c r="S304" s="40">
        <f t="shared" si="47"/>
        <v>6.86111766232257E-4</v>
      </c>
      <c r="T304" s="40" t="e">
        <f t="shared" si="52"/>
        <v>#N/A</v>
      </c>
      <c r="U304" s="39">
        <f t="shared" si="48"/>
        <v>3.3638024007597084E-5</v>
      </c>
      <c r="V304" s="139">
        <f t="shared" si="49"/>
        <v>19.530128248781189</v>
      </c>
    </row>
    <row r="305" spans="13:22">
      <c r="M305" s="38">
        <f t="shared" si="43"/>
        <v>29.400000000000148</v>
      </c>
      <c r="N305" s="39">
        <f t="shared" si="44"/>
        <v>4.265653902209032E-6</v>
      </c>
      <c r="O305" s="39">
        <f t="shared" si="45"/>
        <v>1.3133551649425801E-4</v>
      </c>
      <c r="P305" s="39">
        <f t="shared" si="46"/>
        <v>-8.0803884069147111E-6</v>
      </c>
      <c r="Q305" s="39">
        <f t="shared" si="50"/>
        <v>4.7516467617314767E-4</v>
      </c>
      <c r="R305" s="40">
        <f t="shared" si="51"/>
        <v>4.7516467617314767E-4</v>
      </c>
      <c r="S305" s="40">
        <f t="shared" si="47"/>
        <v>6.0719147708857154E-4</v>
      </c>
      <c r="T305" s="40" t="e">
        <f t="shared" si="52"/>
        <v>#N/A</v>
      </c>
      <c r="U305" s="39">
        <f t="shared" si="48"/>
        <v>4.5459899490682404E-5</v>
      </c>
      <c r="V305" s="139">
        <f t="shared" si="49"/>
        <v>19.530128248781189</v>
      </c>
    </row>
    <row r="306" spans="13:22">
      <c r="M306" s="38">
        <f t="shared" si="43"/>
        <v>29.500000000000149</v>
      </c>
      <c r="N306" s="39">
        <f t="shared" si="44"/>
        <v>5.103718712465382E-6</v>
      </c>
      <c r="O306" s="39">
        <f t="shared" si="45"/>
        <v>1.1501870957521754E-4</v>
      </c>
      <c r="P306" s="39">
        <f t="shared" si="46"/>
        <v>-6.6775956092647866E-6</v>
      </c>
      <c r="Q306" s="39">
        <f t="shared" si="50"/>
        <v>4.1613136604637315E-4</v>
      </c>
      <c r="R306" s="40">
        <f t="shared" si="51"/>
        <v>4.1613136604637315E-4</v>
      </c>
      <c r="S306" s="40">
        <f t="shared" si="47"/>
        <v>5.3175547653822248E-4</v>
      </c>
      <c r="T306" s="40" t="e">
        <f t="shared" si="52"/>
        <v>#N/A</v>
      </c>
      <c r="U306" s="39">
        <f t="shared" si="48"/>
        <v>5.4391318427695014E-5</v>
      </c>
      <c r="V306" s="139">
        <f t="shared" si="49"/>
        <v>19.530128248781189</v>
      </c>
    </row>
    <row r="307" spans="13:22">
      <c r="M307" s="38">
        <f t="shared" si="43"/>
        <v>29.600000000000151</v>
      </c>
      <c r="N307" s="39">
        <f t="shared" si="44"/>
        <v>5.7042164165634791E-6</v>
      </c>
      <c r="O307" s="39">
        <f t="shared" si="45"/>
        <v>9.9604909624968234E-5</v>
      </c>
      <c r="P307" s="39">
        <f t="shared" si="46"/>
        <v>-5.4008782511842324E-6</v>
      </c>
      <c r="Q307" s="39">
        <f t="shared" si="50"/>
        <v>3.6036508547383588E-4</v>
      </c>
      <c r="R307" s="40">
        <f t="shared" si="51"/>
        <v>3.6036508547383588E-4</v>
      </c>
      <c r="S307" s="40">
        <f t="shared" si="47"/>
        <v>4.6049426548760162E-4</v>
      </c>
      <c r="T307" s="40" t="e">
        <f t="shared" si="52"/>
        <v>#N/A</v>
      </c>
      <c r="U307" s="39">
        <f t="shared" si="48"/>
        <v>6.0790938720037079E-5</v>
      </c>
      <c r="V307" s="139">
        <f t="shared" si="49"/>
        <v>19.530128248781189</v>
      </c>
    </row>
    <row r="308" spans="13:22">
      <c r="M308" s="38">
        <f t="shared" si="43"/>
        <v>29.700000000000152</v>
      </c>
      <c r="N308" s="39">
        <f t="shared" si="44"/>
        <v>6.098944434143624E-6</v>
      </c>
      <c r="O308" s="39">
        <f t="shared" si="45"/>
        <v>8.5201247799552524E-5</v>
      </c>
      <c r="P308" s="39">
        <f t="shared" si="46"/>
        <v>-4.2575958891311854E-6</v>
      </c>
      <c r="Q308" s="39">
        <f t="shared" si="50"/>
        <v>3.0825342908665892E-4</v>
      </c>
      <c r="R308" s="40">
        <f t="shared" si="51"/>
        <v>3.0825342908665892E-4</v>
      </c>
      <c r="S308" s="40">
        <f t="shared" si="47"/>
        <v>3.939031336086571E-4</v>
      </c>
      <c r="T308" s="40" t="e">
        <f t="shared" si="52"/>
        <v>#N/A</v>
      </c>
      <c r="U308" s="39">
        <f t="shared" si="48"/>
        <v>6.4997631624976457E-5</v>
      </c>
      <c r="V308" s="139">
        <f t="shared" si="49"/>
        <v>19.530128248781189</v>
      </c>
    </row>
    <row r="309" spans="13:22">
      <c r="M309" s="38">
        <f t="shared" si="43"/>
        <v>29.800000000000153</v>
      </c>
      <c r="N309" s="39">
        <f t="shared" si="44"/>
        <v>6.3176214361840947E-6</v>
      </c>
      <c r="O309" s="39">
        <f t="shared" si="45"/>
        <v>7.1878275640438973E-5</v>
      </c>
      <c r="P309" s="39">
        <f t="shared" si="46"/>
        <v>-3.24979264763826E-6</v>
      </c>
      <c r="Q309" s="39">
        <f t="shared" si="50"/>
        <v>2.6005164848205123E-4</v>
      </c>
      <c r="R309" s="40">
        <f t="shared" si="51"/>
        <v>2.6005164848205123E-4</v>
      </c>
      <c r="S309" s="40">
        <f t="shared" si="47"/>
        <v>3.3230825538806737E-4</v>
      </c>
      <c r="T309" s="40" t="e">
        <f t="shared" si="52"/>
        <v>#N/A</v>
      </c>
      <c r="U309" s="39">
        <f t="shared" si="48"/>
        <v>6.7328114772832273E-5</v>
      </c>
      <c r="V309" s="139">
        <f t="shared" si="49"/>
        <v>19.530128248781189</v>
      </c>
    </row>
    <row r="310" spans="13:22">
      <c r="M310" s="38">
        <f t="shared" si="43"/>
        <v>29.900000000000155</v>
      </c>
      <c r="N310" s="39">
        <f t="shared" si="44"/>
        <v>6.3877408109430605E-6</v>
      </c>
      <c r="O310" s="39">
        <f t="shared" si="45"/>
        <v>5.9675241540810147E-5</v>
      </c>
      <c r="P310" s="39">
        <f t="shared" si="46"/>
        <v>-2.3753174658885825E-6</v>
      </c>
      <c r="Q310" s="39">
        <f t="shared" si="50"/>
        <v>2.1590174218816984E-4</v>
      </c>
      <c r="R310" s="40">
        <f t="shared" si="51"/>
        <v>2.1590174218816984E-4</v>
      </c>
      <c r="S310" s="40">
        <f t="shared" si="47"/>
        <v>2.7589108433106866E-4</v>
      </c>
      <c r="T310" s="40" t="e">
        <f t="shared" si="52"/>
        <v>#N/A</v>
      </c>
      <c r="U310" s="39">
        <f t="shared" si="48"/>
        <v>6.8075390525148069E-5</v>
      </c>
      <c r="V310" s="139">
        <f t="shared" si="49"/>
        <v>19.530128248781189</v>
      </c>
    </row>
    <row r="311" spans="13:22">
      <c r="M311" s="38">
        <f t="shared" si="43"/>
        <v>30.000000000000156</v>
      </c>
      <c r="N311" s="39">
        <f t="shared" si="44"/>
        <v>6.3344888110041279E-6</v>
      </c>
      <c r="O311" s="39">
        <f t="shared" si="45"/>
        <v>4.8604972914153528E-5</v>
      </c>
      <c r="P311" s="39">
        <f t="shared" si="46"/>
        <v>-1.6288122406579232E-6</v>
      </c>
      <c r="Q311" s="39">
        <f t="shared" si="50"/>
        <v>1.7585011908159744E-4</v>
      </c>
      <c r="R311" s="40">
        <f t="shared" si="51"/>
        <v>1.7585011908159744E-4</v>
      </c>
      <c r="S311" s="40">
        <f t="shared" si="47"/>
        <v>2.2471092424481521E-4</v>
      </c>
      <c r="T311" s="40" t="e">
        <f t="shared" si="52"/>
        <v>#N/A</v>
      </c>
      <c r="U311" s="39">
        <f t="shared" si="48"/>
        <v>6.7507873651908998E-5</v>
      </c>
      <c r="V311" s="139">
        <f t="shared" si="49"/>
        <v>19.530128248781189</v>
      </c>
    </row>
    <row r="312" spans="13:22">
      <c r="M312" s="38">
        <f t="shared" si="43"/>
        <v>30.100000000000158</v>
      </c>
      <c r="N312" s="39">
        <f t="shared" si="44"/>
        <v>6.1807173065972284E-6</v>
      </c>
      <c r="O312" s="39">
        <f t="shared" si="45"/>
        <v>3.8658349377299472E-5</v>
      </c>
      <c r="P312" s="39">
        <f t="shared" si="46"/>
        <v>-1.0025698125504748E-6</v>
      </c>
      <c r="Q312" s="39">
        <f t="shared" si="50"/>
        <v>1.3986378211758131E-4</v>
      </c>
      <c r="R312" s="40">
        <f t="shared" si="51"/>
        <v>1.3986378211758131E-4</v>
      </c>
      <c r="S312" s="40">
        <f t="shared" si="47"/>
        <v>1.7872560969625276E-4</v>
      </c>
      <c r="T312" s="40" t="e">
        <f t="shared" si="52"/>
        <v>#N/A</v>
      </c>
      <c r="U312" s="39">
        <f t="shared" si="48"/>
        <v>6.5869100958407408E-5</v>
      </c>
      <c r="V312" s="139">
        <f t="shared" si="49"/>
        <v>19.530128248781189</v>
      </c>
    </row>
    <row r="313" spans="13:22">
      <c r="M313" s="38">
        <f t="shared" si="43"/>
        <v>30.200000000000159</v>
      </c>
      <c r="N313" s="39">
        <f t="shared" si="44"/>
        <v>5.9469619128890982E-6</v>
      </c>
      <c r="O313" s="39">
        <f t="shared" si="45"/>
        <v>2.9808361971691268E-5</v>
      </c>
      <c r="P313" s="39">
        <f t="shared" si="46"/>
        <v>-4.872669070792214E-7</v>
      </c>
      <c r="Q313" s="39">
        <f t="shared" si="50"/>
        <v>1.078450143693606E-4</v>
      </c>
      <c r="R313" s="40">
        <f t="shared" si="51"/>
        <v>1.078450143693606E-4</v>
      </c>
      <c r="S313" s="40">
        <f t="shared" si="47"/>
        <v>1.3781027263842473E-4</v>
      </c>
      <c r="T313" s="40" t="e">
        <f t="shared" si="52"/>
        <v>#N/A</v>
      </c>
      <c r="U313" s="39">
        <f t="shared" si="48"/>
        <v>6.3377924471287012E-5</v>
      </c>
      <c r="V313" s="139">
        <f t="shared" si="49"/>
        <v>19.530128248781189</v>
      </c>
    </row>
    <row r="314" spans="13:22">
      <c r="M314" s="38">
        <f t="shared" si="43"/>
        <v>30.300000000000161</v>
      </c>
      <c r="N314" s="39">
        <f t="shared" si="44"/>
        <v>5.6514971120133981E-6</v>
      </c>
      <c r="O314" s="39">
        <f t="shared" si="45"/>
        <v>2.2013761518630839E-5</v>
      </c>
      <c r="P314" s="39">
        <f t="shared" si="46"/>
        <v>-7.2579464980161427E-8</v>
      </c>
      <c r="Q314" s="39">
        <f t="shared" si="50"/>
        <v>7.9644578576812001E-5</v>
      </c>
      <c r="R314" s="40">
        <f t="shared" si="51"/>
        <v>7.9644578576812001E-5</v>
      </c>
      <c r="S314" s="40">
        <f t="shared" si="47"/>
        <v>1.0177420951747961E-4</v>
      </c>
      <c r="T314" s="40" t="e">
        <f t="shared" si="52"/>
        <v>#N/A</v>
      </c>
      <c r="U314" s="39">
        <f t="shared" si="48"/>
        <v>6.0229098884689854E-5</v>
      </c>
      <c r="V314" s="139">
        <f t="shared" si="49"/>
        <v>19.530128248781189</v>
      </c>
    </row>
    <row r="315" spans="13:22">
      <c r="M315" s="38">
        <f t="shared" si="43"/>
        <v>30.400000000000162</v>
      </c>
      <c r="N315" s="39">
        <f t="shared" si="44"/>
        <v>5.3104208375529551E-6</v>
      </c>
      <c r="O315" s="39">
        <f t="shared" si="45"/>
        <v>1.5222305787799839E-5</v>
      </c>
      <c r="P315" s="39">
        <f t="shared" si="46"/>
        <v>2.5231060061332588E-7</v>
      </c>
      <c r="Q315" s="39">
        <f t="shared" si="50"/>
        <v>5.5073465223588419E-5</v>
      </c>
      <c r="R315" s="40">
        <f t="shared" si="51"/>
        <v>5.5073465223588419E-5</v>
      </c>
      <c r="S315" s="40">
        <f t="shared" si="47"/>
        <v>7.0375893609800444E-5</v>
      </c>
      <c r="T315" s="40" t="e">
        <f t="shared" si="52"/>
        <v>#N/A</v>
      </c>
      <c r="U315" s="39">
        <f t="shared" si="48"/>
        <v>5.6594182993459558E-5</v>
      </c>
      <c r="V315" s="139">
        <f t="shared" si="49"/>
        <v>19.530128248781189</v>
      </c>
    </row>
    <row r="316" spans="13:22">
      <c r="M316" s="38">
        <f t="shared" si="43"/>
        <v>30.500000000000163</v>
      </c>
      <c r="N316" s="39">
        <f t="shared" si="44"/>
        <v>4.9377618163795046E-6</v>
      </c>
      <c r="O316" s="39">
        <f t="shared" si="45"/>
        <v>9.3736204037124207E-6</v>
      </c>
      <c r="P316" s="39">
        <f t="shared" si="46"/>
        <v>4.9830718386138906E-7</v>
      </c>
      <c r="Q316" s="39">
        <f t="shared" si="50"/>
        <v>3.3913243139335819E-5</v>
      </c>
      <c r="R316" s="40">
        <f t="shared" si="51"/>
        <v>3.3913243139335819E-5</v>
      </c>
      <c r="S316" s="40">
        <f t="shared" si="47"/>
        <v>4.3336201589054186E-5</v>
      </c>
      <c r="T316" s="40" t="e">
        <f t="shared" si="52"/>
        <v>#N/A</v>
      </c>
      <c r="U316" s="39">
        <f t="shared" si="48"/>
        <v>5.2622683655909463E-5</v>
      </c>
      <c r="V316" s="139">
        <f t="shared" si="49"/>
        <v>19.530128248781189</v>
      </c>
    </row>
    <row r="317" spans="13:22">
      <c r="M317" s="38">
        <f t="shared" si="43"/>
        <v>30.600000000000165</v>
      </c>
      <c r="N317" s="39">
        <f t="shared" si="44"/>
        <v>4.5456037593478594E-6</v>
      </c>
      <c r="O317" s="39">
        <f t="shared" si="45"/>
        <v>4.4016924687234143E-6</v>
      </c>
      <c r="P317" s="39">
        <f t="shared" si="46"/>
        <v>6.7607976618436641E-7</v>
      </c>
      <c r="Q317" s="39">
        <f t="shared" si="50"/>
        <v>1.5925081290605694E-5</v>
      </c>
      <c r="R317" s="40">
        <f t="shared" si="51"/>
        <v>1.5925081290605694E-5</v>
      </c>
      <c r="S317" s="40">
        <f t="shared" si="47"/>
        <v>2.0349942065295491E-5</v>
      </c>
      <c r="T317" s="40" t="e">
        <f t="shared" si="52"/>
        <v>#N/A</v>
      </c>
      <c r="U317" s="39">
        <f t="shared" si="48"/>
        <v>4.8443379318094414E-5</v>
      </c>
      <c r="V317" s="139">
        <f t="shared" si="49"/>
        <v>19.530128248781189</v>
      </c>
    </row>
    <row r="318" spans="13:22">
      <c r="M318" s="38">
        <f t="shared" si="43"/>
        <v>30.700000000000166</v>
      </c>
      <c r="N318" s="39">
        <f t="shared" si="44"/>
        <v>4.1442212499402442E-6</v>
      </c>
      <c r="O318" s="39">
        <f t="shared" si="45"/>
        <v>2.3701888511991776E-7</v>
      </c>
      <c r="P318" s="39">
        <f t="shared" si="46"/>
        <v>7.9582056143724488E-7</v>
      </c>
      <c r="Q318" s="39">
        <f t="shared" si="50"/>
        <v>8.5752129204022347E-7</v>
      </c>
      <c r="R318" s="40">
        <f t="shared" si="51"/>
        <v>8.5752129204022347E-7</v>
      </c>
      <c r="S318" s="40">
        <f t="shared" si="47"/>
        <v>1.0957877259358196E-6</v>
      </c>
      <c r="T318" s="40" t="e">
        <f t="shared" si="52"/>
        <v>#N/A</v>
      </c>
      <c r="U318" s="39">
        <f t="shared" si="48"/>
        <v>4.4165768205402246E-5</v>
      </c>
      <c r="V318" s="139">
        <f t="shared" si="49"/>
        <v>19.530128248781189</v>
      </c>
    </row>
    <row r="319" spans="13:22">
      <c r="M319" s="38">
        <f t="shared" ref="M319:M331" si="53">MIN(M318+Dx,LSchiene)</f>
        <v>30.800000000000168</v>
      </c>
      <c r="N319" s="39">
        <f t="shared" si="44"/>
        <v>3.7422228923375235E-6</v>
      </c>
      <c r="O319" s="39">
        <f t="shared" si="45"/>
        <v>-3.1915665528368227E-6</v>
      </c>
      <c r="P319" s="39">
        <f t="shared" si="46"/>
        <v>8.6706860834337707E-7</v>
      </c>
      <c r="Q319" s="39">
        <f t="shared" si="50"/>
        <v>-1.1546912275097044E-5</v>
      </c>
      <c r="R319" s="40">
        <f t="shared" si="51"/>
        <v>-1.1546912275097044E-5</v>
      </c>
      <c r="S319" s="40">
        <f t="shared" si="47"/>
        <v>-1.4755277636786051E-5</v>
      </c>
      <c r="T319" s="40" t="e">
        <f t="shared" si="52"/>
        <v>#N/A</v>
      </c>
      <c r="U319" s="39">
        <f t="shared" si="48"/>
        <v>3.9881593879263129E-5</v>
      </c>
      <c r="V319" s="139">
        <f t="shared" si="49"/>
        <v>19.530128248781189</v>
      </c>
    </row>
    <row r="320" spans="13:22">
      <c r="M320" s="38">
        <f t="shared" si="53"/>
        <v>30.900000000000169</v>
      </c>
      <c r="N320" s="39">
        <f t="shared" si="44"/>
        <v>3.3466979432265414E-6</v>
      </c>
      <c r="O320" s="39">
        <f t="shared" si="45"/>
        <v>-5.9553619268233397E-6</v>
      </c>
      <c r="P320" s="39">
        <f t="shared" si="46"/>
        <v>8.9859084909375713E-7</v>
      </c>
      <c r="Q320" s="39">
        <f t="shared" si="50"/>
        <v>-2.1546171949433211E-5</v>
      </c>
      <c r="R320" s="40">
        <f t="shared" si="51"/>
        <v>-2.1546171949433211E-5</v>
      </c>
      <c r="S320" s="40">
        <f t="shared" si="47"/>
        <v>-2.7532879920588717E-5</v>
      </c>
      <c r="T320" s="40" t="e">
        <f t="shared" si="52"/>
        <v>#N/A</v>
      </c>
      <c r="U320" s="39">
        <f t="shared" si="48"/>
        <v>3.5666407920709147E-5</v>
      </c>
      <c r="V320" s="139">
        <f t="shared" si="49"/>
        <v>19.530128248781189</v>
      </c>
    </row>
    <row r="321" spans="13:22">
      <c r="M321" s="38">
        <f t="shared" si="53"/>
        <v>31.000000000000171</v>
      </c>
      <c r="N321" s="39">
        <f t="shared" si="44"/>
        <v>2.9633632622332384E-6</v>
      </c>
      <c r="O321" s="39">
        <f t="shared" si="45"/>
        <v>-8.1245358244009594E-6</v>
      </c>
      <c r="P321" s="39">
        <f t="shared" si="46"/>
        <v>8.9831086391384707E-7</v>
      </c>
      <c r="Q321" s="39">
        <f t="shared" si="50"/>
        <v>-2.9394123822000579E-5</v>
      </c>
      <c r="R321" s="40">
        <f t="shared" si="51"/>
        <v>-2.9394123822000579E-5</v>
      </c>
      <c r="S321" s="40">
        <f t="shared" si="47"/>
        <v>-3.7561423136389088E-5</v>
      </c>
      <c r="T321" s="40" t="e">
        <f t="shared" si="52"/>
        <v>#N/A</v>
      </c>
      <c r="U321" s="39">
        <f t="shared" si="48"/>
        <v>3.1581136009590459E-5</v>
      </c>
      <c r="V321" s="139">
        <f t="shared" si="49"/>
        <v>19.530128248781189</v>
      </c>
    </row>
    <row r="322" spans="13:22">
      <c r="M322" s="38">
        <f t="shared" si="53"/>
        <v>31.100000000000172</v>
      </c>
      <c r="N322" s="39">
        <f t="shared" si="44"/>
        <v>2.596707972886421E-6</v>
      </c>
      <c r="O322" s="39">
        <f t="shared" si="45"/>
        <v>-9.7671097682435973E-6</v>
      </c>
      <c r="P322" s="39">
        <f t="shared" si="46"/>
        <v>8.7327668038041814E-7</v>
      </c>
      <c r="Q322" s="39">
        <f t="shared" si="50"/>
        <v>-3.5336866021141818E-5</v>
      </c>
      <c r="R322" s="40">
        <f t="shared" si="51"/>
        <v>-3.5336866021141818E-5</v>
      </c>
      <c r="S322" s="40">
        <f t="shared" si="47"/>
        <v>-4.5155384966452139E-5</v>
      </c>
      <c r="T322" s="40" t="e">
        <f t="shared" si="52"/>
        <v>#N/A</v>
      </c>
      <c r="U322" s="39">
        <f t="shared" si="48"/>
        <v>2.7673619604473405E-5</v>
      </c>
      <c r="V322" s="139">
        <f t="shared" si="49"/>
        <v>19.530128248781189</v>
      </c>
    </row>
    <row r="323" spans="13:22">
      <c r="M323" s="38">
        <f t="shared" si="53"/>
        <v>31.200000000000173</v>
      </c>
      <c r="N323" s="39">
        <f t="shared" si="44"/>
        <v>2.2501337293152704E-6</v>
      </c>
      <c r="O323" s="39">
        <f t="shared" si="45"/>
        <v>-1.0948158781095738E-5</v>
      </c>
      <c r="P323" s="39">
        <f t="shared" si="46"/>
        <v>8.2965989650326492E-7</v>
      </c>
      <c r="Q323" s="39">
        <f t="shared" si="50"/>
        <v>-3.9609836400491096E-5</v>
      </c>
      <c r="R323" s="40">
        <f t="shared" si="51"/>
        <v>-3.9609836400491096E-5</v>
      </c>
      <c r="S323" s="40">
        <f t="shared" si="47"/>
        <v>-5.0615620809504107E-5</v>
      </c>
      <c r="T323" s="40" t="e">
        <f t="shared" si="52"/>
        <v>#N/A</v>
      </c>
      <c r="U323" s="39">
        <f t="shared" si="48"/>
        <v>2.3980110791992226E-5</v>
      </c>
      <c r="V323" s="139">
        <f t="shared" si="49"/>
        <v>19.530128248781189</v>
      </c>
    </row>
    <row r="324" spans="13:22">
      <c r="M324" s="38">
        <f t="shared" si="53"/>
        <v>31.300000000000175</v>
      </c>
      <c r="N324" s="39">
        <f t="shared" si="44"/>
        <v>1.926088934273913E-6</v>
      </c>
      <c r="O324" s="39">
        <f t="shared" si="45"/>
        <v>-1.1729205196754303E-5</v>
      </c>
      <c r="P324" s="39">
        <f t="shared" si="46"/>
        <v>7.7277920963831556E-7</v>
      </c>
      <c r="Q324" s="39">
        <f t="shared" si="50"/>
        <v>-4.2435619380442486E-5</v>
      </c>
      <c r="R324" s="40">
        <f t="shared" si="51"/>
        <v>-4.2435619380442486E-5</v>
      </c>
      <c r="S324" s="40">
        <f t="shared" si="47"/>
        <v>-5.422656124250718E-5</v>
      </c>
      <c r="T324" s="40" t="e">
        <f t="shared" si="52"/>
        <v>#N/A</v>
      </c>
      <c r="U324" s="39">
        <f t="shared" si="48"/>
        <v>2.0526702674322343E-5</v>
      </c>
      <c r="V324" s="139">
        <f t="shared" si="49"/>
        <v>19.530128248781189</v>
      </c>
    </row>
    <row r="325" spans="13:22">
      <c r="M325" s="38">
        <f t="shared" si="53"/>
        <v>31.400000000000176</v>
      </c>
      <c r="N325" s="39">
        <f t="shared" si="44"/>
        <v>1.6261956531520479E-6</v>
      </c>
      <c r="O325" s="39">
        <f t="shared" si="45"/>
        <v>-1.2167781895829001E-5</v>
      </c>
      <c r="P325" s="39">
        <f t="shared" si="46"/>
        <v>7.0714229833837081E-7</v>
      </c>
      <c r="Q325" s="39">
        <f t="shared" si="50"/>
        <v>-4.4022365759149787E-5</v>
      </c>
      <c r="R325" s="40">
        <f t="shared" si="51"/>
        <v>-4.4022365759149787E-5</v>
      </c>
      <c r="S325" s="40">
        <f t="shared" si="47"/>
        <v>-5.6254192768511332E-5</v>
      </c>
      <c r="T325" s="40" t="e">
        <f t="shared" si="52"/>
        <v>#N/A</v>
      </c>
      <c r="U325" s="39">
        <f t="shared" si="48"/>
        <v>1.7330681916362856E-5</v>
      </c>
      <c r="V325" s="139">
        <f t="shared" si="49"/>
        <v>19.530128248781189</v>
      </c>
    </row>
    <row r="326" spans="13:22">
      <c r="M326" s="38">
        <f t="shared" si="53"/>
        <v>31.500000000000178</v>
      </c>
      <c r="N326" s="39">
        <f t="shared" si="44"/>
        <v>1.3513683185650728E-6</v>
      </c>
      <c r="O326" s="39">
        <f t="shared" si="45"/>
        <v>-1.2317142437194629E-5</v>
      </c>
      <c r="P326" s="39">
        <f t="shared" si="46"/>
        <v>6.3650083721442505E-7</v>
      </c>
      <c r="Q326" s="39">
        <f t="shared" si="50"/>
        <v>-4.4562743984061604E-5</v>
      </c>
      <c r="R326" s="40">
        <f t="shared" si="51"/>
        <v>-4.4562743984061604E-5</v>
      </c>
      <c r="S326" s="40">
        <f t="shared" si="47"/>
        <v>-5.6944717693918762E-5</v>
      </c>
      <c r="T326" s="40" t="e">
        <f t="shared" si="52"/>
        <v>#N/A</v>
      </c>
      <c r="U326" s="39">
        <f t="shared" si="48"/>
        <v>1.4401793803535412E-5</v>
      </c>
      <c r="V326" s="139">
        <f t="shared" si="49"/>
        <v>19.530128248781189</v>
      </c>
    </row>
    <row r="327" spans="13:22">
      <c r="M327" s="38">
        <f t="shared" si="53"/>
        <v>31.600000000000179</v>
      </c>
      <c r="N327" s="39">
        <f t="shared" si="44"/>
        <v>1.1019236235765826E-6</v>
      </c>
      <c r="O327" s="39">
        <f t="shared" si="45"/>
        <v>-1.2226097009715742E-5</v>
      </c>
      <c r="P327" s="39">
        <f t="shared" si="46"/>
        <v>5.6391421764977911E-7</v>
      </c>
      <c r="Q327" s="39">
        <f t="shared" si="50"/>
        <v>-4.4233346634282714E-5</v>
      </c>
      <c r="R327" s="40">
        <f t="shared" si="51"/>
        <v>-4.4233346634282714E-5</v>
      </c>
      <c r="S327" s="40">
        <f t="shared" si="47"/>
        <v>-5.6523795699101905E-5</v>
      </c>
      <c r="T327" s="40" t="e">
        <f t="shared" si="52"/>
        <v>#N/A</v>
      </c>
      <c r="U327" s="39">
        <f t="shared" si="48"/>
        <v>1.1743413395132319E-5</v>
      </c>
      <c r="V327" s="139">
        <f t="shared" si="49"/>
        <v>19.530128248781189</v>
      </c>
    </row>
    <row r="328" spans="13:22">
      <c r="M328" s="38">
        <f t="shared" si="53"/>
        <v>31.70000000000018</v>
      </c>
      <c r="N328" s="39">
        <f t="shared" si="44"/>
        <v>8.7768126158234519E-7</v>
      </c>
      <c r="O328" s="39">
        <f t="shared" si="45"/>
        <v>-1.1938954690054172E-5</v>
      </c>
      <c r="P328" s="39">
        <f t="shared" si="46"/>
        <v>4.9181828677915199E-7</v>
      </c>
      <c r="Q328" s="39">
        <f t="shared" si="50"/>
        <v>-4.319448151249701E-5</v>
      </c>
      <c r="R328" s="40">
        <f t="shared" si="51"/>
        <v>-4.319448151249701E-5</v>
      </c>
      <c r="S328" s="40">
        <f t="shared" si="47"/>
        <v>-5.5196276884207915E-5</v>
      </c>
      <c r="T328" s="40" t="e">
        <f t="shared" si="52"/>
        <v>#N/A</v>
      </c>
      <c r="U328" s="39">
        <f t="shared" si="48"/>
        <v>9.353619128763892E-6</v>
      </c>
      <c r="V328" s="139">
        <f t="shared" si="49"/>
        <v>19.530128248781189</v>
      </c>
    </row>
    <row r="329" spans="13:22">
      <c r="M329" s="38">
        <f t="shared" si="53"/>
        <v>31.800000000000182</v>
      </c>
      <c r="N329" s="39">
        <f t="shared" ref="N329:N331" si="54">(1/($C$14*$C$15))*(($C$11*10^3/2)/(8*(1/$I$24)^3)*EXP(-(1/$I$24)*ABS(M329-$D$33)*10^3)*(COS(ABS(M329-$D$33)*10^3/$I$24)+SIN(ABS(M329-$D$33)*10^3/$I$24))+($C$10*10^3/2)/(8*(1/$I$24)^3)*EXP(-(1/$I$24)*ABS(M329-$D$32)*10^3)*(COS(ABS(M329-$D$32)*10^3/$I$24)+SIN(ABS(M329-$D$32)*10^3/$I$24)))</f>
        <v>6.780553905916238E-7</v>
      </c>
      <c r="O329" s="39">
        <f t="shared" si="45"/>
        <v>-1.1495554114933773E-5</v>
      </c>
      <c r="P329" s="39">
        <f t="shared" si="46"/>
        <v>4.2209609486197346E-7</v>
      </c>
      <c r="Q329" s="39">
        <f t="shared" si="50"/>
        <v>-4.1590282615534639E-5</v>
      </c>
      <c r="R329" s="40">
        <f t="shared" si="51"/>
        <v>-4.1590282615534639E-5</v>
      </c>
      <c r="S329" s="40">
        <f t="shared" si="47"/>
        <v>-5.3146343573433994E-5</v>
      </c>
      <c r="T329" s="40" t="e">
        <f t="shared" si="52"/>
        <v>#N/A</v>
      </c>
      <c r="U329" s="39">
        <f t="shared" si="48"/>
        <v>7.2261675729125095E-6</v>
      </c>
      <c r="V329" s="139">
        <f t="shared" si="49"/>
        <v>19.530128248781189</v>
      </c>
    </row>
    <row r="330" spans="13:22">
      <c r="M330" s="38">
        <f t="shared" si="53"/>
        <v>31.900000000000183</v>
      </c>
      <c r="N330" s="39">
        <f t="shared" si="54"/>
        <v>5.0213688242233337E-7</v>
      </c>
      <c r="O330" s="39">
        <f t="shared" si="45"/>
        <v>-1.0931366321065855E-5</v>
      </c>
      <c r="P330" s="39">
        <f t="shared" si="46"/>
        <v>3.5614825201363986E-7</v>
      </c>
      <c r="Q330" s="39">
        <f t="shared" ref="Q330:Q331" si="55">O330/$C$16*10^6</f>
        <v>-3.9549082203566772E-5</v>
      </c>
      <c r="R330" s="40">
        <f t="shared" ref="R330:R331" si="56">(O330/$C$16)*10^6*(1+3*$D$126*$D$122)</f>
        <v>-3.9549082203566772E-5</v>
      </c>
      <c r="S330" s="40">
        <f t="shared" si="47"/>
        <v>-5.0537985765445469E-5</v>
      </c>
      <c r="T330" s="40" t="e">
        <f t="shared" si="52"/>
        <v>#N/A</v>
      </c>
      <c r="U330" s="39">
        <f t="shared" si="48"/>
        <v>5.3513699725293075E-6</v>
      </c>
      <c r="V330" s="139">
        <f t="shared" si="49"/>
        <v>19.530128248781189</v>
      </c>
    </row>
    <row r="331" spans="13:22">
      <c r="M331" s="38">
        <f t="shared" si="53"/>
        <v>32</v>
      </c>
      <c r="N331" s="39">
        <f t="shared" si="54"/>
        <v>3.4876656657025811E-7</v>
      </c>
      <c r="O331" s="39">
        <f t="shared" si="45"/>
        <v>-1.0277655140516401E-5</v>
      </c>
      <c r="P331" s="39">
        <f t="shared" si="46"/>
        <v>2.9496103714257305E-7</v>
      </c>
      <c r="Q331" s="39">
        <f t="shared" si="55"/>
        <v>-3.7183991101723592E-5</v>
      </c>
      <c r="R331" s="40">
        <f t="shared" si="56"/>
        <v>-3.7183991101723592E-5</v>
      </c>
      <c r="S331" s="40">
        <f t="shared" si="47"/>
        <v>-4.7515742674601953E-5</v>
      </c>
      <c r="T331" s="40" t="e">
        <f t="shared" si="52"/>
        <v>#N/A</v>
      </c>
      <c r="U331" s="39">
        <f t="shared" si="48"/>
        <v>3.716872823128861E-6</v>
      </c>
      <c r="V331" s="139">
        <f t="shared" si="49"/>
        <v>19.530128248781189</v>
      </c>
    </row>
  </sheetData>
  <sheetProtection algorithmName="SHA-512" hashValue="DJd0eXmYdj8JjQeY0BQLCZPsju4VA6PLACf63yrB2lzAUFai+GdkwnpYhePRf3cbAurkr7DmtR/kbT4uFk8GLg==" saltValue="rOdw9XA0wQd/AmS2yZ7f3g==" spinCount="100000" sheet="1" objects="1" selectLockedCells="1"/>
  <mergeCells count="8">
    <mergeCell ref="A37:B37"/>
    <mergeCell ref="A125:C125"/>
    <mergeCell ref="B156:B157"/>
    <mergeCell ref="I3:J3"/>
    <mergeCell ref="I4:J4"/>
    <mergeCell ref="B19:D19"/>
    <mergeCell ref="B20:C20"/>
    <mergeCell ref="A36:B36"/>
  </mergeCells>
  <conditionalFormatting sqref="A7">
    <cfRule type="containsText" dxfId="73" priority="40" operator="containsText" text="54E2">
      <formula>NOT(ISERROR(SEARCH("54E2",A7)))</formula>
    </cfRule>
    <cfRule type="containsText" dxfId="72" priority="41" operator="containsText" text="54E1">
      <formula>NOT(ISERROR(SEARCH("54E1",A7)))</formula>
    </cfRule>
    <cfRule type="containsText" dxfId="71" priority="42" operator="containsText" text="49E1">
      <formula>NOT(ISERROR(SEARCH("49E1",A7)))</formula>
    </cfRule>
    <cfRule type="containsText" dxfId="70" priority="43" operator="containsText" text="41E1">
      <formula>NOT(ISERROR(SEARCH("41E1",A7)))</formula>
    </cfRule>
    <cfRule type="containsText" dxfId="69" priority="44" operator="containsText" text="36E3">
      <formula>NOT(ISERROR(SEARCH("36E3",A7)))</formula>
    </cfRule>
    <cfRule type="containsText" dxfId="68" priority="45" operator="containsText" text="36E3">
      <formula>NOT(ISERROR(SEARCH("36E3",A7)))</formula>
    </cfRule>
    <cfRule type="containsText" dxfId="67" priority="46" operator="containsText" text="36E3">
      <formula>NOT(ISERROR(SEARCH("36E3",A7)))</formula>
    </cfRule>
    <cfRule type="containsText" dxfId="66" priority="47" operator="containsText" text="54E2">
      <formula>NOT(ISERROR(SEARCH("54E2",A7)))</formula>
    </cfRule>
    <cfRule type="containsText" dxfId="65" priority="48" operator="containsText" text="36E3; 54E1;54E2">
      <formula>NOT(ISERROR(SEARCH("36E3; 54E1;54E2",A7)))</formula>
    </cfRule>
    <cfRule type="expression" dxfId="64" priority="51">
      <formula>"ODER($B$17=""B91"";$B$17=""B06"";$B$17=""HD""+$A$12;$B$17=""Holz"";$B$17=""Stahl"";$B$17=""Y-Stahl"""</formula>
    </cfRule>
    <cfRule type="expression" dxfId="63" priority="50">
      <formula>OR($B$13="46E1",$B$13="54E2",$B$13="60E1")</formula>
    </cfRule>
    <cfRule type="dataBar" priority="4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{5B58B10A-2390-407A-8E91-FA1AE0C523A8}</x14:id>
        </ext>
      </extLst>
    </cfRule>
    <cfRule type="containsText" dxfId="62" priority="38" operator="containsText" text="Nebengleis ">
      <formula>NOT(ISERROR(SEARCH("Nebengleis ",A7)))</formula>
    </cfRule>
    <cfRule type="containsText" dxfId="61" priority="39" operator="containsText" text="Hauptgleis ">
      <formula>NOT(ISERROR(SEARCH("Hauptgleis ",A7)))</formula>
    </cfRule>
  </conditionalFormatting>
  <conditionalFormatting sqref="B10:B11 E11 B18">
    <cfRule type="expression" dxfId="60" priority="107">
      <formula>$I$12&gt;0</formula>
    </cfRule>
  </conditionalFormatting>
  <conditionalFormatting sqref="B13">
    <cfRule type="containsText" dxfId="59" priority="70" operator="containsText" text="54E1">
      <formula>NOT(ISERROR(SEARCH("54E1",B13)))</formula>
    </cfRule>
    <cfRule type="containsText" dxfId="58" priority="71" operator="containsText" text="49E1">
      <formula>NOT(ISERROR(SEARCH("49E1",B13)))</formula>
    </cfRule>
    <cfRule type="containsText" dxfId="57" priority="72" operator="containsText" text="41E1">
      <formula>NOT(ISERROR(SEARCH("41E1",B13)))</formula>
    </cfRule>
    <cfRule type="containsText" dxfId="56" priority="73" operator="containsText" text="36E3">
      <formula>NOT(ISERROR(SEARCH("36E3",B13)))</formula>
    </cfRule>
    <cfRule type="containsText" dxfId="55" priority="74" operator="containsText" text="36E3">
      <formula>NOT(ISERROR(SEARCH("36E3",B13)))</formula>
    </cfRule>
    <cfRule type="containsText" dxfId="54" priority="75" operator="containsText" text="36E3">
      <formula>NOT(ISERROR(SEARCH("36E3",B13)))</formula>
    </cfRule>
    <cfRule type="containsText" dxfId="53" priority="76" operator="containsText" text="54E2">
      <formula>NOT(ISERROR(SEARCH("54E2",B13)))</formula>
    </cfRule>
    <cfRule type="containsText" dxfId="52" priority="77" operator="containsText" text="36E3; 54E1;54E2">
      <formula>NOT(ISERROR(SEARCH("36E3; 54E1;54E2",B13)))</formula>
    </cfRule>
    <cfRule type="dataBar" priority="7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{B62DA4E4-D2EE-4C52-9C06-2EE6177D0CAA}</x14:id>
        </ext>
      </extLst>
    </cfRule>
    <cfRule type="expression" dxfId="51" priority="89">
      <formula>"ODER($B$17=""B91"";$B$17=""B06"";$B$17=""HD""+$A$12;$B$17=""Holz"";$B$17=""Stahl"";$B$17=""Y-Stahl"""</formula>
    </cfRule>
    <cfRule type="expression" dxfId="50" priority="88">
      <formula>OR($B$13="46E1",$B$13="54E2",$B$13="60E1")</formula>
    </cfRule>
    <cfRule type="containsText" dxfId="49" priority="69" operator="containsText" text="54E2">
      <formula>NOT(ISERROR(SEARCH("54E2",B13)))</formula>
    </cfRule>
  </conditionalFormatting>
  <conditionalFormatting sqref="D118">
    <cfRule type="expression" dxfId="48" priority="83">
      <formula>$D$118&gt;0</formula>
    </cfRule>
  </conditionalFormatting>
  <conditionalFormatting sqref="D119">
    <cfRule type="expression" dxfId="47" priority="82">
      <formula>$D$119&gt;0</formula>
    </cfRule>
  </conditionalFormatting>
  <conditionalFormatting sqref="D125:D126">
    <cfRule type="expression" dxfId="46" priority="81">
      <formula>$D$118&gt;0</formula>
    </cfRule>
  </conditionalFormatting>
  <conditionalFormatting sqref="I11">
    <cfRule type="containsText" dxfId="45" priority="14" operator="containsText" text="USP-7-S-3035">
      <formula>NOT(ISERROR(SEARCH("USP-7-S-3035",I11)))</formula>
    </cfRule>
    <cfRule type="expression" dxfId="44" priority="29">
      <formula>"ODER($B$17=""B91"";$B$17=""B06"";$B$17=""HD""+$A$12;$B$17=""Holz"";$B$17=""Stahl"";$B$17=""Y-Stahl"""</formula>
    </cfRule>
    <cfRule type="containsText" dxfId="43" priority="24" operator="containsText" text="36E3">
      <formula>NOT(ISERROR(SEARCH("36E3",I11)))</formula>
    </cfRule>
    <cfRule type="expression" dxfId="42" priority="28">
      <formula>OR($B$13="46E1",$B$13="54E2",$B$13="60E1")</formula>
    </cfRule>
    <cfRule type="containsText" dxfId="41" priority="23" operator="containsText" text="36E3">
      <formula>NOT(ISERROR(SEARCH("36E3",I11)))</formula>
    </cfRule>
    <cfRule type="containsText" dxfId="40" priority="10" operator="containsText" text="Zw weich ">
      <formula>NOT(ISERROR(SEARCH("Zw weich ",I11)))</formula>
    </cfRule>
    <cfRule type="containsText" dxfId="39" priority="11" operator="containsText" text="Zw mittel">
      <formula>NOT(ISERROR(SEARCH("Zw mittel",I11)))</formula>
    </cfRule>
    <cfRule type="containsText" dxfId="38" priority="12" operator="containsText" text="Zw steif">
      <formula>NOT(ISERROR(SEARCH("Zw steif",I11)))</formula>
    </cfRule>
    <cfRule type="containsText" dxfId="37" priority="13" operator="containsText" text="Müller M02">
      <formula>NOT(ISERROR(SEARCH("Müller M02",I11)))</formula>
    </cfRule>
    <cfRule type="containsText" dxfId="36" priority="15" operator="containsText" text="SLS1308">
      <formula>NOT(ISERROR(SEARCH("SLS1308",I11)))</formula>
    </cfRule>
    <cfRule type="containsText" dxfId="35" priority="16" operator="containsText" text="SLB2210">
      <formula>NOT(ISERROR(SEARCH("SLB2210",I11)))</formula>
    </cfRule>
    <cfRule type="containsText" dxfId="34" priority="17" operator="containsText" text="SLB3007">
      <formula>NOT(ISERROR(SEARCH("SLB3007",I11)))</formula>
    </cfRule>
    <cfRule type="containsText" dxfId="33" priority="18" operator="containsText" text="54E2">
      <formula>NOT(ISERROR(SEARCH("54E2",I11)))</formula>
    </cfRule>
    <cfRule type="containsText" dxfId="32" priority="19" operator="containsText" text="54E1">
      <formula>NOT(ISERROR(SEARCH("54E1",I11)))</formula>
    </cfRule>
    <cfRule type="containsText" dxfId="31" priority="20" operator="containsText" text="49E1">
      <formula>NOT(ISERROR(SEARCH("49E1",I11)))</formula>
    </cfRule>
    <cfRule type="containsText" dxfId="30" priority="21" operator="containsText" text="41E1">
      <formula>NOT(ISERROR(SEARCH("41E1",I11)))</formula>
    </cfRule>
    <cfRule type="containsText" dxfId="29" priority="22" operator="containsText" text="36E3">
      <formula>NOT(ISERROR(SEARCH("36E3",I11)))</formula>
    </cfRule>
    <cfRule type="containsText" dxfId="28" priority="25" operator="containsText" text="54E2">
      <formula>NOT(ISERROR(SEARCH("54E2",I11)))</formula>
    </cfRule>
    <cfRule type="containsText" dxfId="27" priority="26" operator="containsText" text="36E3; 54E1;54E2">
      <formula>NOT(ISERROR(SEARCH("36E3; 54E1;54E2",I11)))</formula>
    </cfRule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{58620EAB-5AE4-4CA8-BA41-B291C132FBCD}</x14:id>
        </ext>
      </extLst>
    </cfRule>
  </conditionalFormatting>
  <conditionalFormatting sqref="I14">
    <cfRule type="containsText" dxfId="26" priority="7" operator="containsText" text="Typ 2">
      <formula>NOT(ISERROR(SEARCH("Typ 2",I14)))</formula>
    </cfRule>
    <cfRule type="containsText" dxfId="25" priority="8" operator="containsText" text="Typ 1">
      <formula>NOT(ISERROR(SEARCH("Typ 1",I14)))</formula>
    </cfRule>
    <cfRule type="containsText" dxfId="23" priority="37" operator="containsText" text="USP-7-S-3035">
      <formula>NOT(ISERROR(SEARCH("USP-7-S-3035",I14)))</formula>
    </cfRule>
    <cfRule type="containsText" dxfId="22" priority="36" operator="containsText" text="Müller M02">
      <formula>NOT(ISERROR(SEARCH("Müller M02",I14)))</formula>
    </cfRule>
    <cfRule type="containsText" dxfId="21" priority="91" operator="containsText" text="SLS1308">
      <formula>NOT(ISERROR(SEARCH("SLS1308",I14)))</formula>
    </cfRule>
    <cfRule type="containsText" dxfId="20" priority="92" operator="containsText" text="SLB2210">
      <formula>NOT(ISERROR(SEARCH("SLB2210",I14)))</formula>
    </cfRule>
    <cfRule type="containsText" dxfId="19" priority="93" operator="containsText" text="SLB3007">
      <formula>NOT(ISERROR(SEARCH("SLB3007",I14)))</formula>
    </cfRule>
    <cfRule type="containsText" dxfId="18" priority="94" operator="containsText" text="54E2">
      <formula>NOT(ISERROR(SEARCH("54E2",I14)))</formula>
    </cfRule>
    <cfRule type="containsText" dxfId="17" priority="95" operator="containsText" text="54E1">
      <formula>NOT(ISERROR(SEARCH("54E1",I14)))</formula>
    </cfRule>
    <cfRule type="containsText" dxfId="16" priority="96" operator="containsText" text="49E1">
      <formula>NOT(ISERROR(SEARCH("49E1",I14)))</formula>
    </cfRule>
    <cfRule type="containsText" dxfId="15" priority="98" operator="containsText" text="36E3">
      <formula>NOT(ISERROR(SEARCH("36E3",I14)))</formula>
    </cfRule>
    <cfRule type="containsText" dxfId="14" priority="99" operator="containsText" text="36E3">
      <formula>NOT(ISERROR(SEARCH("36E3",I14)))</formula>
    </cfRule>
    <cfRule type="containsText" dxfId="13" priority="100" operator="containsText" text="36E3">
      <formula>NOT(ISERROR(SEARCH("36E3",I14)))</formula>
    </cfRule>
    <cfRule type="containsText" dxfId="12" priority="101" operator="containsText" text="54E2">
      <formula>NOT(ISERROR(SEARCH("54E2",I14)))</formula>
    </cfRule>
    <cfRule type="containsText" dxfId="11" priority="102" operator="containsText" text="36E3; 54E1;54E2">
      <formula>NOT(ISERROR(SEARCH("36E3; 54E1;54E2",I14)))</formula>
    </cfRule>
    <cfRule type="dataBar" priority="10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{1D5A6E5F-841D-45C0-80C8-100EC794EFFD}</x14:id>
        </ext>
      </extLst>
    </cfRule>
    <cfRule type="expression" dxfId="10" priority="104">
      <formula>OR($B$13="46E1",$B$13="54E2",$B$13="60E1")</formula>
    </cfRule>
    <cfRule type="expression" dxfId="9" priority="105">
      <formula>"ODER($B$17=""B91"";$B$17=""B06"";$B$17=""HD""+$A$12;$B$17=""Holz"";$B$17=""Stahl"";$B$17=""Y-Stahl"""</formula>
    </cfRule>
    <cfRule type="containsText" dxfId="8" priority="97" operator="containsText" text="41E1">
      <formula>NOT(ISERROR(SEARCH("41E1",I14)))</formula>
    </cfRule>
  </conditionalFormatting>
  <conditionalFormatting sqref="I16">
    <cfRule type="containsText" dxfId="7" priority="2" operator="containsText" text="ok">
      <formula>NOT(ISERROR(SEARCH("ok",I16)))</formula>
    </cfRule>
    <cfRule type="containsText" dxfId="6" priority="1" operator="containsText" text="Achtung">
      <formula>NOT(ISERROR(SEARCH("Achtung",I16)))</formula>
    </cfRule>
  </conditionalFormatting>
  <conditionalFormatting sqref="I3:J3">
    <cfRule type="expression" dxfId="5" priority="84">
      <formula>$K$4&gt;=6</formula>
    </cfRule>
  </conditionalFormatting>
  <conditionalFormatting sqref="I4:J5">
    <cfRule type="expression" dxfId="4" priority="86">
      <formula>$K$4&gt;=6</formula>
    </cfRule>
  </conditionalFormatting>
  <conditionalFormatting sqref="N1:N331 N333:N1048576">
    <cfRule type="cellIs" dxfId="3" priority="90" operator="equal">
      <formula>$B$57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B13" numberStoredAsText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58B10A-2390-407A-8E91-FA1AE0C523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A7</xm:sqref>
        </x14:conditionalFormatting>
        <x14:conditionalFormatting xmlns:xm="http://schemas.microsoft.com/office/excel/2006/main">
          <x14:cfRule type="dataBar" id="{B62DA4E4-D2EE-4C52-9C06-2EE6177D0CA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B13</xm:sqref>
        </x14:conditionalFormatting>
        <x14:conditionalFormatting xmlns:xm="http://schemas.microsoft.com/office/excel/2006/main">
          <x14:cfRule type="dataBar" id="{58620EAB-5AE4-4CA8-BA41-B291C132FBC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I11</xm:sqref>
        </x14:conditionalFormatting>
        <x14:conditionalFormatting xmlns:xm="http://schemas.microsoft.com/office/excel/2006/main">
          <x14:cfRule type="containsText" priority="9" operator="containsText" id="{A739BD8E-C947-44EA-B496-94088ACB13D3}">
            <xm:f>NOT(ISERROR(SEARCH($B$18="LVT",I14)))</xm:f>
            <xm:f>$B$18="LVT"</xm:f>
            <x14:dxf>
              <fill>
                <patternFill>
                  <bgColor theme="9" tint="0.79998168889431442"/>
                </patternFill>
              </fill>
            </x14:dxf>
          </x14:cfRule>
          <x14:cfRule type="dataBar" id="{1D5A6E5F-841D-45C0-80C8-100EC794EF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650B5E-B440-4EB0-B3B8-26646F99B3EC}">
          <x14:formula1>
            <xm:f>Komponenten!$A$31:$A$32</xm:f>
          </x14:formula1>
          <xm:sqref>A7</xm:sqref>
        </x14:dataValidation>
        <x14:dataValidation type="list" allowBlank="1" showInputMessage="1" showErrorMessage="1" xr:uid="{E700B0AB-A777-4990-AC68-E18694AD32FC}">
          <x14:formula1>
            <xm:f>Komponenten!$M$36:$M$39</xm:f>
          </x14:formula1>
          <xm:sqref>I14</xm:sqref>
        </x14:dataValidation>
        <x14:dataValidation type="list" allowBlank="1" showInputMessage="1" showErrorMessage="1" xr:uid="{B50C2208-68A7-4F1F-98C8-AFF34AAAFC98}">
          <x14:formula1>
            <xm:f>Komponenten!$A$25:$A$26</xm:f>
          </x14:formula1>
          <xm:sqref>B18</xm:sqref>
        </x14:dataValidation>
        <x14:dataValidation type="list" allowBlank="1" showInputMessage="1" showErrorMessage="1" xr:uid="{CFAF3908-86E7-49BD-BADC-6D6BE575F934}">
          <x14:formula1>
            <xm:f>Komponenten!$G$3:$G$4</xm:f>
          </x14:formula1>
          <xm:sqref>B13</xm:sqref>
        </x14:dataValidation>
        <x14:dataValidation type="list" allowBlank="1" showInputMessage="1" showErrorMessage="1" xr:uid="{93D67B5F-69B3-49E6-810D-1E12A93F1205}">
          <x14:formula1>
            <xm:f>Komponenten!$G$38:$G$40</xm:f>
          </x14:formula1>
          <xm:sqref>I11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EDF1B-67AF-41A4-8175-E9B0358E2C41}">
  <sheetPr codeName="Tabelle9"/>
  <dimension ref="A1:P53"/>
  <sheetViews>
    <sheetView workbookViewId="0">
      <selection activeCell="J17" sqref="J17"/>
    </sheetView>
  </sheetViews>
  <sheetFormatPr baseColWidth="10" defaultColWidth="11.453125" defaultRowHeight="14.5"/>
  <cols>
    <col min="1" max="1" width="19.26953125" customWidth="1"/>
    <col min="2" max="2" width="10.81640625" customWidth="1"/>
    <col min="3" max="3" width="5.453125" bestFit="1" customWidth="1"/>
    <col min="4" max="4" width="8.1796875" customWidth="1"/>
    <col min="5" max="5" width="4.453125" bestFit="1" customWidth="1"/>
    <col min="6" max="6" width="7" customWidth="1"/>
    <col min="7" max="7" width="12.453125" bestFit="1" customWidth="1"/>
    <col min="8" max="8" width="18.453125" bestFit="1" customWidth="1"/>
    <col min="9" max="9" width="5.453125" bestFit="1" customWidth="1"/>
    <col min="10" max="10" width="7.81640625" customWidth="1"/>
    <col min="11" max="11" width="8.26953125" customWidth="1"/>
    <col min="12" max="12" width="2.7265625" bestFit="1" customWidth="1"/>
    <col min="13" max="13" width="17.7265625" customWidth="1"/>
    <col min="14" max="14" width="11.54296875" customWidth="1"/>
    <col min="15" max="15" width="3.1796875" bestFit="1" customWidth="1"/>
  </cols>
  <sheetData>
    <row r="1" spans="1:16">
      <c r="A1" s="147" t="s">
        <v>219</v>
      </c>
      <c r="B1" s="148"/>
      <c r="C1" s="148"/>
      <c r="D1" s="148"/>
      <c r="E1" s="148"/>
      <c r="F1" s="1"/>
      <c r="G1" s="147" t="s">
        <v>219</v>
      </c>
      <c r="H1" s="148"/>
      <c r="I1" s="148"/>
      <c r="J1" s="148"/>
      <c r="K1" s="148"/>
      <c r="L1" s="1"/>
      <c r="M1" s="1"/>
      <c r="N1" s="1"/>
      <c r="O1" s="1"/>
      <c r="P1" s="1"/>
    </row>
    <row r="2" spans="1:16">
      <c r="A2" s="141" t="s">
        <v>220</v>
      </c>
      <c r="B2" s="365" t="s">
        <v>59</v>
      </c>
      <c r="C2" s="366"/>
      <c r="D2" s="365" t="s">
        <v>55</v>
      </c>
      <c r="E2" s="366"/>
      <c r="F2" s="151"/>
      <c r="G2" s="141" t="s">
        <v>220</v>
      </c>
      <c r="H2" s="365" t="s">
        <v>59</v>
      </c>
      <c r="I2" s="366"/>
      <c r="J2" s="365" t="s">
        <v>55</v>
      </c>
      <c r="K2" s="366"/>
      <c r="L2" s="1"/>
      <c r="M2" s="1"/>
      <c r="N2" s="1"/>
      <c r="O2" s="1"/>
      <c r="P2" s="1"/>
    </row>
    <row r="3" spans="1:16">
      <c r="A3" s="143" t="s">
        <v>221</v>
      </c>
      <c r="B3" s="55">
        <v>115600</v>
      </c>
      <c r="C3" s="55" t="s">
        <v>61</v>
      </c>
      <c r="D3" s="142">
        <v>6870000</v>
      </c>
      <c r="E3" s="55" t="s">
        <v>61</v>
      </c>
      <c r="F3" s="204"/>
      <c r="G3" s="143" t="s">
        <v>49</v>
      </c>
      <c r="H3" s="143">
        <v>217000</v>
      </c>
      <c r="I3" s="143" t="s">
        <v>61</v>
      </c>
      <c r="J3" s="143">
        <v>16411000</v>
      </c>
      <c r="K3" s="143" t="s">
        <v>61</v>
      </c>
      <c r="L3" s="1"/>
      <c r="M3" s="1"/>
      <c r="N3" s="1"/>
      <c r="O3" s="1"/>
      <c r="P3" s="1"/>
    </row>
    <row r="4" spans="1:16">
      <c r="A4" s="232" t="s">
        <v>222</v>
      </c>
      <c r="B4" s="55">
        <v>156300</v>
      </c>
      <c r="C4" s="55" t="s">
        <v>61</v>
      </c>
      <c r="D4" s="142">
        <v>10036000</v>
      </c>
      <c r="E4" s="55" t="s">
        <v>61</v>
      </c>
      <c r="F4" s="204"/>
      <c r="G4" s="143" t="s">
        <v>204</v>
      </c>
      <c r="H4" s="55">
        <v>276400</v>
      </c>
      <c r="I4" s="55" t="s">
        <v>61</v>
      </c>
      <c r="J4" s="142">
        <v>23070000</v>
      </c>
      <c r="K4" s="55" t="s">
        <v>61</v>
      </c>
      <c r="L4" s="1"/>
      <c r="M4" s="1"/>
      <c r="N4" s="1"/>
      <c r="O4" s="1"/>
      <c r="P4" s="1"/>
    </row>
    <row r="5" spans="1:16">
      <c r="A5" s="233" t="s">
        <v>223</v>
      </c>
      <c r="B5" s="143">
        <v>199300</v>
      </c>
      <c r="C5" s="55" t="s">
        <v>61</v>
      </c>
      <c r="D5" s="143">
        <v>13821000</v>
      </c>
      <c r="E5" s="55" t="s">
        <v>61</v>
      </c>
      <c r="F5" s="204"/>
      <c r="G5" s="303"/>
      <c r="H5" s="204"/>
      <c r="I5" s="204"/>
      <c r="J5" s="204"/>
      <c r="K5" s="204"/>
      <c r="L5" s="1"/>
      <c r="M5" s="1"/>
      <c r="N5" s="1"/>
      <c r="O5" s="1"/>
      <c r="P5" s="1"/>
    </row>
    <row r="6" spans="1:16">
      <c r="A6" s="143" t="s">
        <v>49</v>
      </c>
      <c r="B6" s="143">
        <v>216300</v>
      </c>
      <c r="C6" s="143" t="s">
        <v>61</v>
      </c>
      <c r="D6" s="143">
        <v>16311000</v>
      </c>
      <c r="E6" s="143" t="s">
        <v>61</v>
      </c>
      <c r="F6" s="204"/>
      <c r="G6" s="204"/>
      <c r="H6" s="204"/>
      <c r="I6" s="204"/>
      <c r="J6" s="204"/>
      <c r="K6" s="204"/>
      <c r="L6" s="1"/>
      <c r="M6" s="1"/>
      <c r="N6" s="1"/>
      <c r="O6" s="1"/>
      <c r="P6" s="1"/>
    </row>
    <row r="7" spans="1:16">
      <c r="A7" s="232" t="s">
        <v>224</v>
      </c>
      <c r="B7" s="55">
        <v>240800</v>
      </c>
      <c r="C7" s="142" t="s">
        <v>61</v>
      </c>
      <c r="D7" s="142">
        <v>18160000</v>
      </c>
      <c r="E7" s="142" t="s">
        <v>61</v>
      </c>
      <c r="F7" s="204"/>
      <c r="G7" s="303"/>
      <c r="H7" s="204"/>
      <c r="I7" s="204"/>
      <c r="J7" s="204"/>
      <c r="K7" s="204"/>
      <c r="L7" s="1"/>
      <c r="M7" s="1"/>
      <c r="N7" s="1"/>
      <c r="O7" s="1"/>
      <c r="P7" s="1"/>
    </row>
    <row r="8" spans="1:16">
      <c r="A8" s="232" t="s">
        <v>225</v>
      </c>
      <c r="B8" s="55">
        <v>278700</v>
      </c>
      <c r="C8" s="55" t="s">
        <v>61</v>
      </c>
      <c r="D8" s="142">
        <v>23379000</v>
      </c>
      <c r="E8" s="55" t="s">
        <v>61</v>
      </c>
      <c r="F8" s="204"/>
      <c r="G8" s="303"/>
      <c r="H8" s="204"/>
      <c r="I8" s="204"/>
      <c r="J8" s="204"/>
      <c r="K8" s="204"/>
      <c r="L8" s="1"/>
      <c r="M8" s="1"/>
      <c r="N8" s="1"/>
      <c r="O8" s="1"/>
      <c r="P8" s="1"/>
    </row>
    <row r="9" spans="1:16">
      <c r="A9" s="143" t="s">
        <v>204</v>
      </c>
      <c r="B9" s="55">
        <v>276400</v>
      </c>
      <c r="C9" s="55" t="s">
        <v>61</v>
      </c>
      <c r="D9" s="142">
        <v>23070000</v>
      </c>
      <c r="E9" s="55" t="s">
        <v>61</v>
      </c>
      <c r="F9" s="204"/>
      <c r="G9" s="204"/>
      <c r="H9" s="204"/>
      <c r="I9" s="204"/>
      <c r="J9" s="204"/>
      <c r="K9" s="204"/>
      <c r="L9" s="1"/>
      <c r="M9" s="1"/>
      <c r="N9" s="1"/>
      <c r="O9" s="1"/>
      <c r="P9" s="1"/>
    </row>
    <row r="10" spans="1:1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>
      <c r="A11" s="147" t="s">
        <v>67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>
      <c r="A12" s="143" t="s">
        <v>202</v>
      </c>
      <c r="B12" s="143" t="s">
        <v>72</v>
      </c>
      <c r="C12" s="143"/>
      <c r="D12" s="362" t="s">
        <v>75</v>
      </c>
      <c r="E12" s="363"/>
      <c r="F12" s="363"/>
      <c r="G12" s="364"/>
      <c r="H12" s="143" t="s">
        <v>82</v>
      </c>
      <c r="I12" s="143"/>
      <c r="J12" s="254" t="s">
        <v>226</v>
      </c>
      <c r="K12" s="362" t="s">
        <v>227</v>
      </c>
      <c r="L12" s="364"/>
      <c r="M12" s="143" t="s">
        <v>228</v>
      </c>
      <c r="N12" s="362" t="s">
        <v>168</v>
      </c>
      <c r="O12" s="364"/>
      <c r="P12" s="1"/>
    </row>
    <row r="13" spans="1:16" ht="16.5">
      <c r="A13" s="143" t="s">
        <v>229</v>
      </c>
      <c r="B13" s="143">
        <v>1800</v>
      </c>
      <c r="C13" s="143" t="s">
        <v>29</v>
      </c>
      <c r="D13" s="143">
        <v>0.26</v>
      </c>
      <c r="E13" s="143" t="s">
        <v>15</v>
      </c>
      <c r="F13" s="143">
        <v>0.21</v>
      </c>
      <c r="G13" s="143" t="s">
        <v>15</v>
      </c>
      <c r="H13" s="255">
        <f>(D13+F13)/2*K13</f>
        <v>0.1739</v>
      </c>
      <c r="I13" s="143" t="s">
        <v>230</v>
      </c>
      <c r="J13" s="55">
        <v>1060</v>
      </c>
      <c r="K13" s="256">
        <f>(B13-J13)/1000</f>
        <v>0.74</v>
      </c>
      <c r="L13" s="143" t="s">
        <v>15</v>
      </c>
      <c r="M13" s="257" t="s">
        <v>49</v>
      </c>
      <c r="N13" s="260">
        <v>160</v>
      </c>
      <c r="O13" s="143" t="s">
        <v>13</v>
      </c>
      <c r="P13" s="1"/>
    </row>
    <row r="14" spans="1:16" ht="16.5">
      <c r="A14" s="143" t="s">
        <v>231</v>
      </c>
      <c r="B14" s="143">
        <v>2000</v>
      </c>
      <c r="C14" s="143" t="s">
        <v>29</v>
      </c>
      <c r="D14" s="143">
        <v>0.26</v>
      </c>
      <c r="E14" s="143" t="s">
        <v>15</v>
      </c>
      <c r="F14" s="143">
        <v>0.21</v>
      </c>
      <c r="G14" s="143" t="s">
        <v>15</v>
      </c>
      <c r="H14" s="255">
        <f t="shared" ref="H14:H24" si="0">(D14+F14)/2*K14</f>
        <v>0.22089999999999999</v>
      </c>
      <c r="I14" s="143" t="s">
        <v>230</v>
      </c>
      <c r="J14" s="55">
        <v>1060</v>
      </c>
      <c r="K14" s="256">
        <f>(B14-J14)/1000</f>
        <v>0.94</v>
      </c>
      <c r="L14" s="143" t="s">
        <v>15</v>
      </c>
      <c r="M14" s="257" t="s">
        <v>49</v>
      </c>
      <c r="N14" s="260">
        <v>160</v>
      </c>
      <c r="O14" s="143" t="s">
        <v>13</v>
      </c>
      <c r="P14" s="1"/>
    </row>
    <row r="15" spans="1:16" ht="16.5">
      <c r="A15" s="143" t="s">
        <v>232</v>
      </c>
      <c r="B15" s="143">
        <v>2000</v>
      </c>
      <c r="C15" s="143" t="s">
        <v>29</v>
      </c>
      <c r="D15" s="143">
        <v>0.26</v>
      </c>
      <c r="E15" s="143" t="s">
        <v>15</v>
      </c>
      <c r="F15" s="143">
        <v>0.21</v>
      </c>
      <c r="G15" s="143" t="s">
        <v>15</v>
      </c>
      <c r="H15" s="255">
        <f t="shared" ref="H15" si="1">(D15+F15)/2*K15</f>
        <v>0.22089999999999999</v>
      </c>
      <c r="I15" s="143" t="s">
        <v>230</v>
      </c>
      <c r="J15" s="55">
        <v>1060</v>
      </c>
      <c r="K15" s="256">
        <f>(B15-J15)/1000</f>
        <v>0.94</v>
      </c>
      <c r="L15" s="143" t="s">
        <v>15</v>
      </c>
      <c r="M15" s="257" t="s">
        <v>233</v>
      </c>
      <c r="N15" s="260">
        <v>160</v>
      </c>
      <c r="O15" s="143" t="s">
        <v>13</v>
      </c>
      <c r="P15" s="1"/>
    </row>
    <row r="16" spans="1:16" ht="16.5">
      <c r="A16" s="143" t="s">
        <v>234</v>
      </c>
      <c r="B16" s="143">
        <v>1800</v>
      </c>
      <c r="C16" s="143" t="s">
        <v>29</v>
      </c>
      <c r="D16" s="143">
        <v>0.25</v>
      </c>
      <c r="E16" s="143" t="s">
        <v>15</v>
      </c>
      <c r="F16" s="143">
        <v>0.25</v>
      </c>
      <c r="G16" s="143" t="s">
        <v>15</v>
      </c>
      <c r="H16" s="55">
        <f t="shared" si="0"/>
        <v>0.185</v>
      </c>
      <c r="I16" s="143" t="s">
        <v>230</v>
      </c>
      <c r="J16" s="55">
        <v>1060</v>
      </c>
      <c r="K16" s="55">
        <f t="shared" ref="K16:K21" si="2">(B16-J16)/1000</f>
        <v>0.74</v>
      </c>
      <c r="L16" s="143" t="s">
        <v>15</v>
      </c>
      <c r="M16" s="257" t="s">
        <v>235</v>
      </c>
      <c r="N16" s="260">
        <v>110</v>
      </c>
      <c r="O16" s="143" t="s">
        <v>13</v>
      </c>
      <c r="P16" s="1"/>
    </row>
    <row r="17" spans="1:16" ht="16.5">
      <c r="A17" s="143" t="s">
        <v>236</v>
      </c>
      <c r="B17" s="143">
        <v>1797</v>
      </c>
      <c r="C17" s="143" t="s">
        <v>29</v>
      </c>
      <c r="D17" s="143">
        <v>0.24399999999999999</v>
      </c>
      <c r="E17" s="143" t="s">
        <v>15</v>
      </c>
      <c r="F17" s="143">
        <v>0.24399999999999999</v>
      </c>
      <c r="G17" s="143" t="s">
        <v>15</v>
      </c>
      <c r="H17" s="255">
        <f t="shared" si="0"/>
        <v>0.17982799999999999</v>
      </c>
      <c r="I17" s="143" t="s">
        <v>230</v>
      </c>
      <c r="J17" s="55">
        <v>1060</v>
      </c>
      <c r="K17" s="256">
        <f t="shared" si="2"/>
        <v>0.73699999999999999</v>
      </c>
      <c r="L17" s="143" t="s">
        <v>15</v>
      </c>
      <c r="M17" s="257" t="s">
        <v>237</v>
      </c>
      <c r="N17" s="260">
        <v>110</v>
      </c>
      <c r="O17" s="143" t="s">
        <v>13</v>
      </c>
      <c r="P17" s="1"/>
    </row>
    <row r="18" spans="1:16" ht="16.5">
      <c r="A18" s="143" t="s">
        <v>238</v>
      </c>
      <c r="B18" s="143">
        <v>2000</v>
      </c>
      <c r="C18" s="143" t="s">
        <v>29</v>
      </c>
      <c r="D18" s="143">
        <v>0.24</v>
      </c>
      <c r="E18" s="143" t="s">
        <v>15</v>
      </c>
      <c r="F18" s="143">
        <v>0.24</v>
      </c>
      <c r="G18" s="143" t="s">
        <v>15</v>
      </c>
      <c r="H18" s="255">
        <f t="shared" si="0"/>
        <v>0.22559999999999997</v>
      </c>
      <c r="I18" s="143" t="s">
        <v>230</v>
      </c>
      <c r="J18" s="55">
        <v>1060</v>
      </c>
      <c r="K18" s="55">
        <f t="shared" si="2"/>
        <v>0.94</v>
      </c>
      <c r="L18" s="143" t="s">
        <v>15</v>
      </c>
      <c r="M18" s="257" t="s">
        <v>235</v>
      </c>
      <c r="N18" s="260" t="s">
        <v>239</v>
      </c>
      <c r="O18" s="143" t="s">
        <v>13</v>
      </c>
      <c r="P18" s="1"/>
    </row>
    <row r="19" spans="1:16" ht="16.5">
      <c r="A19" s="143" t="s">
        <v>166</v>
      </c>
      <c r="B19" s="143">
        <v>2000</v>
      </c>
      <c r="C19" s="143" t="s">
        <v>29</v>
      </c>
      <c r="D19" s="143">
        <v>0.26</v>
      </c>
      <c r="E19" s="143" t="s">
        <v>15</v>
      </c>
      <c r="F19" s="143">
        <v>0.26</v>
      </c>
      <c r="G19" s="143" t="s">
        <v>15</v>
      </c>
      <c r="H19" s="255">
        <f t="shared" si="0"/>
        <v>0.24440000000000001</v>
      </c>
      <c r="I19" s="143" t="s">
        <v>230</v>
      </c>
      <c r="J19" s="55">
        <v>1060</v>
      </c>
      <c r="K19" s="55">
        <f t="shared" si="2"/>
        <v>0.94</v>
      </c>
      <c r="L19" s="143" t="s">
        <v>15</v>
      </c>
      <c r="M19" s="257" t="s">
        <v>235</v>
      </c>
      <c r="N19" s="260" t="s">
        <v>239</v>
      </c>
      <c r="O19" s="143" t="s">
        <v>13</v>
      </c>
      <c r="P19" s="1"/>
    </row>
    <row r="20" spans="1:16" ht="16.5">
      <c r="A20" s="143" t="s">
        <v>240</v>
      </c>
      <c r="B20" s="143">
        <v>1800</v>
      </c>
      <c r="C20" s="143" t="s">
        <v>29</v>
      </c>
      <c r="D20" s="143">
        <v>0.24</v>
      </c>
      <c r="E20" s="143" t="s">
        <v>15</v>
      </c>
      <c r="F20" s="143">
        <v>0.24</v>
      </c>
      <c r="G20" s="143" t="s">
        <v>15</v>
      </c>
      <c r="H20" s="255">
        <f t="shared" si="0"/>
        <v>0.17759999999999998</v>
      </c>
      <c r="I20" s="143" t="s">
        <v>230</v>
      </c>
      <c r="J20" s="55">
        <v>1060</v>
      </c>
      <c r="K20" s="55">
        <f t="shared" si="2"/>
        <v>0.74</v>
      </c>
      <c r="L20" s="143" t="s">
        <v>15</v>
      </c>
      <c r="M20" s="257" t="s">
        <v>235</v>
      </c>
      <c r="N20" s="260" t="s">
        <v>239</v>
      </c>
      <c r="O20" s="143" t="s">
        <v>13</v>
      </c>
      <c r="P20" s="1"/>
    </row>
    <row r="21" spans="1:16" ht="16.5">
      <c r="A21" s="143" t="s">
        <v>241</v>
      </c>
      <c r="B21" s="143">
        <v>1800</v>
      </c>
      <c r="C21" s="143" t="s">
        <v>29</v>
      </c>
      <c r="D21" s="143">
        <v>0.26</v>
      </c>
      <c r="E21" s="143" t="s">
        <v>15</v>
      </c>
      <c r="F21" s="143">
        <v>0.26</v>
      </c>
      <c r="G21" s="143" t="s">
        <v>15</v>
      </c>
      <c r="H21" s="255">
        <f t="shared" si="0"/>
        <v>0.19240000000000002</v>
      </c>
      <c r="I21" s="143" t="s">
        <v>230</v>
      </c>
      <c r="J21" s="55">
        <v>1060</v>
      </c>
      <c r="K21" s="55">
        <f t="shared" si="2"/>
        <v>0.74</v>
      </c>
      <c r="L21" s="143" t="s">
        <v>15</v>
      </c>
      <c r="M21" s="257" t="s">
        <v>235</v>
      </c>
      <c r="N21" s="260" t="s">
        <v>239</v>
      </c>
      <c r="O21" s="143" t="s">
        <v>13</v>
      </c>
      <c r="P21" s="1"/>
    </row>
    <row r="22" spans="1:16" ht="16.5">
      <c r="A22" s="143" t="s">
        <v>242</v>
      </c>
      <c r="B22" s="143">
        <v>1850</v>
      </c>
      <c r="C22" s="143" t="s">
        <v>29</v>
      </c>
      <c r="D22" s="143">
        <f>H22/B33</f>
        <v>0.24500000000000002</v>
      </c>
      <c r="E22" s="143" t="s">
        <v>15</v>
      </c>
      <c r="F22" s="143">
        <f>D22</f>
        <v>0.24500000000000002</v>
      </c>
      <c r="G22" s="143" t="s">
        <v>15</v>
      </c>
      <c r="H22" s="255">
        <f>2*140*770/1000000</f>
        <v>0.21560000000000001</v>
      </c>
      <c r="I22" s="143" t="s">
        <v>230</v>
      </c>
      <c r="J22" s="55">
        <v>1060</v>
      </c>
      <c r="K22" s="55">
        <v>0.77</v>
      </c>
      <c r="L22" s="143" t="s">
        <v>15</v>
      </c>
      <c r="M22" s="257" t="s">
        <v>49</v>
      </c>
      <c r="N22" s="260" t="s">
        <v>239</v>
      </c>
      <c r="O22" s="143" t="s">
        <v>13</v>
      </c>
      <c r="P22" s="1"/>
    </row>
    <row r="23" spans="1:16" ht="16.5">
      <c r="A23" s="143" t="s">
        <v>243</v>
      </c>
      <c r="B23" s="143">
        <v>2023</v>
      </c>
      <c r="C23" s="143" t="s">
        <v>29</v>
      </c>
      <c r="D23" s="143">
        <v>0.23200000000000001</v>
      </c>
      <c r="E23" s="143" t="s">
        <v>15</v>
      </c>
      <c r="F23" s="143">
        <v>0.23200000000000001</v>
      </c>
      <c r="G23" s="143" t="s">
        <v>15</v>
      </c>
      <c r="H23" s="255">
        <f t="shared" si="0"/>
        <v>0.223416</v>
      </c>
      <c r="I23" s="143" t="s">
        <v>230</v>
      </c>
      <c r="J23" s="55">
        <v>1060</v>
      </c>
      <c r="K23" s="55">
        <f t="shared" ref="K23:K24" si="3">(B23-J23)/1000</f>
        <v>0.96299999999999997</v>
      </c>
      <c r="L23" s="143" t="s">
        <v>15</v>
      </c>
      <c r="M23" s="257" t="s">
        <v>244</v>
      </c>
      <c r="N23" s="260" t="s">
        <v>239</v>
      </c>
      <c r="O23" s="143" t="s">
        <v>13</v>
      </c>
      <c r="P23" s="1"/>
    </row>
    <row r="24" spans="1:16" ht="16.5">
      <c r="A24" s="143" t="s">
        <v>245</v>
      </c>
      <c r="B24" s="143">
        <v>1850</v>
      </c>
      <c r="C24" s="143" t="s">
        <v>29</v>
      </c>
      <c r="D24" s="143">
        <v>0.23</v>
      </c>
      <c r="E24" s="143" t="s">
        <v>15</v>
      </c>
      <c r="F24" s="143">
        <v>0.23</v>
      </c>
      <c r="G24" s="143" t="s">
        <v>15</v>
      </c>
      <c r="H24" s="255">
        <f t="shared" si="0"/>
        <v>0.18170000000000003</v>
      </c>
      <c r="I24" s="143" t="s">
        <v>230</v>
      </c>
      <c r="J24" s="55">
        <v>1060</v>
      </c>
      <c r="K24" s="55">
        <f t="shared" si="3"/>
        <v>0.79</v>
      </c>
      <c r="L24" s="143" t="s">
        <v>15</v>
      </c>
      <c r="M24" s="257" t="s">
        <v>246</v>
      </c>
      <c r="N24" s="260" t="s">
        <v>239</v>
      </c>
      <c r="O24" s="143" t="s">
        <v>13</v>
      </c>
      <c r="P24" s="1"/>
    </row>
    <row r="25" spans="1:16" ht="16.5">
      <c r="A25" s="143" t="s">
        <v>213</v>
      </c>
      <c r="B25" s="143">
        <v>640</v>
      </c>
      <c r="C25" s="143" t="s">
        <v>29</v>
      </c>
      <c r="D25" s="143">
        <v>0.34</v>
      </c>
      <c r="E25" s="143" t="s">
        <v>15</v>
      </c>
      <c r="F25" s="143">
        <f>D25</f>
        <v>0.34</v>
      </c>
      <c r="G25" s="143" t="s">
        <v>15</v>
      </c>
      <c r="H25" s="255">
        <f>B25*D25/1000</f>
        <v>0.21760000000000002</v>
      </c>
      <c r="I25" s="143" t="s">
        <v>230</v>
      </c>
      <c r="J25" s="55">
        <v>1060</v>
      </c>
      <c r="K25" s="55">
        <f t="shared" ref="K25:K26" si="4">(B25-J25)/1000</f>
        <v>-0.42</v>
      </c>
      <c r="L25" s="143" t="s">
        <v>15</v>
      </c>
      <c r="M25" s="257" t="s">
        <v>247</v>
      </c>
      <c r="N25" s="260" t="s">
        <v>239</v>
      </c>
      <c r="O25" s="143" t="s">
        <v>13</v>
      </c>
      <c r="P25" s="1"/>
    </row>
    <row r="26" spans="1:16" ht="16.5">
      <c r="A26" s="143" t="s">
        <v>248</v>
      </c>
      <c r="B26" s="143">
        <v>640</v>
      </c>
      <c r="C26" s="143" t="s">
        <v>29</v>
      </c>
      <c r="D26" s="143">
        <v>0.26400000000000001</v>
      </c>
      <c r="E26" s="143" t="s">
        <v>15</v>
      </c>
      <c r="F26" s="143">
        <f>D26</f>
        <v>0.26400000000000001</v>
      </c>
      <c r="G26" s="143" t="s">
        <v>15</v>
      </c>
      <c r="H26" s="255">
        <f>B26*D26/1000</f>
        <v>0.16896</v>
      </c>
      <c r="I26" s="143" t="s">
        <v>230</v>
      </c>
      <c r="J26" s="55">
        <v>1060</v>
      </c>
      <c r="K26" s="55">
        <f t="shared" si="4"/>
        <v>-0.42</v>
      </c>
      <c r="L26" s="143" t="s">
        <v>15</v>
      </c>
      <c r="M26" s="257" t="s">
        <v>247</v>
      </c>
      <c r="N26" s="260" t="s">
        <v>239</v>
      </c>
      <c r="O26" s="143" t="s">
        <v>13</v>
      </c>
      <c r="P26" s="1"/>
    </row>
    <row r="27" spans="1:1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>
      <c r="A29" s="147" t="s">
        <v>87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>
      <c r="A30" s="143" t="s">
        <v>202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>
      <c r="A31" s="143" t="s">
        <v>160</v>
      </c>
      <c r="B31" s="143">
        <v>0.6</v>
      </c>
      <c r="C31" s="143" t="s">
        <v>15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>
      <c r="A32" s="143" t="s">
        <v>249</v>
      </c>
      <c r="B32" s="143">
        <v>0.67</v>
      </c>
      <c r="C32" s="143" t="s">
        <v>15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>
      <c r="A33" s="143" t="s">
        <v>250</v>
      </c>
      <c r="B33" s="143">
        <v>0.88</v>
      </c>
      <c r="C33" s="143" t="s">
        <v>15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>
      <c r="A35" s="147" t="s">
        <v>251</v>
      </c>
      <c r="B35" s="1"/>
      <c r="C35" s="1"/>
      <c r="D35" s="1"/>
      <c r="E35" s="1"/>
      <c r="F35" s="1"/>
      <c r="G35" s="147" t="s">
        <v>252</v>
      </c>
      <c r="H35" s="1"/>
      <c r="I35" s="1"/>
      <c r="J35" s="1"/>
      <c r="K35" s="1"/>
      <c r="L35" s="1"/>
      <c r="M35" s="147" t="s">
        <v>253</v>
      </c>
      <c r="N35" s="1"/>
      <c r="O35" s="1"/>
      <c r="P35" s="1"/>
    </row>
    <row r="36" spans="1:16">
      <c r="A36" s="143" t="s">
        <v>202</v>
      </c>
      <c r="B36" s="1"/>
      <c r="C36" s="1"/>
      <c r="D36" s="1"/>
      <c r="E36" s="1"/>
      <c r="F36" s="1"/>
      <c r="G36" s="143" t="s">
        <v>202</v>
      </c>
      <c r="H36" s="1"/>
      <c r="I36" s="1"/>
      <c r="J36" s="1"/>
      <c r="K36" s="1"/>
      <c r="L36" s="1"/>
      <c r="M36" s="143" t="s">
        <v>254</v>
      </c>
      <c r="N36" s="143">
        <v>20</v>
      </c>
      <c r="O36" s="1"/>
      <c r="P36" s="1"/>
    </row>
    <row r="37" spans="1:16">
      <c r="A37" s="143" t="s">
        <v>162</v>
      </c>
      <c r="B37" s="192">
        <v>0</v>
      </c>
      <c r="C37" s="1"/>
      <c r="D37" s="1"/>
      <c r="E37" s="1"/>
      <c r="F37" s="1"/>
      <c r="G37" s="143" t="s">
        <v>162</v>
      </c>
      <c r="H37" s="1"/>
      <c r="I37" s="1"/>
      <c r="J37" s="1"/>
      <c r="K37" s="1"/>
      <c r="L37" s="1"/>
      <c r="M37" s="143" t="s">
        <v>255</v>
      </c>
      <c r="N37" s="143">
        <v>25</v>
      </c>
      <c r="O37" s="1"/>
      <c r="P37" s="1"/>
    </row>
    <row r="38" spans="1:16">
      <c r="A38" s="143" t="s">
        <v>256</v>
      </c>
      <c r="B38" s="143">
        <v>0.37</v>
      </c>
      <c r="C38" s="143" t="s">
        <v>257</v>
      </c>
      <c r="D38" s="1"/>
      <c r="E38" s="1"/>
      <c r="F38" s="1"/>
      <c r="G38" s="143" t="s">
        <v>203</v>
      </c>
      <c r="H38" s="143">
        <v>100</v>
      </c>
      <c r="I38" s="143" t="s">
        <v>258</v>
      </c>
      <c r="J38" s="1"/>
      <c r="K38" s="1"/>
      <c r="L38" s="1"/>
      <c r="M38" s="143" t="s">
        <v>207</v>
      </c>
      <c r="N38" s="143">
        <v>12</v>
      </c>
      <c r="O38" s="1"/>
      <c r="P38" s="1"/>
    </row>
    <row r="39" spans="1:16">
      <c r="A39" s="143" t="s">
        <v>259</v>
      </c>
      <c r="B39" s="143">
        <v>0.25</v>
      </c>
      <c r="C39" s="143" t="s">
        <v>257</v>
      </c>
      <c r="D39" s="1"/>
      <c r="E39" s="1"/>
      <c r="F39" s="1"/>
      <c r="G39" s="143" t="s">
        <v>260</v>
      </c>
      <c r="H39" s="143">
        <v>200</v>
      </c>
      <c r="I39" s="143" t="s">
        <v>258</v>
      </c>
      <c r="J39" s="1"/>
      <c r="K39" s="1"/>
      <c r="L39" s="1"/>
      <c r="M39" s="143" t="s">
        <v>261</v>
      </c>
      <c r="N39" s="143">
        <v>16</v>
      </c>
      <c r="O39" s="1"/>
      <c r="P39" s="1"/>
    </row>
    <row r="40" spans="1:16">
      <c r="A40" s="143" t="s">
        <v>262</v>
      </c>
      <c r="B40" s="143">
        <v>7.0000000000000007E-2</v>
      </c>
      <c r="C40" s="143" t="s">
        <v>257</v>
      </c>
      <c r="D40" s="1"/>
      <c r="E40" s="1"/>
      <c r="F40" s="1"/>
      <c r="G40" s="143" t="s">
        <v>263</v>
      </c>
      <c r="H40" s="143">
        <v>700</v>
      </c>
      <c r="I40" s="143" t="s">
        <v>258</v>
      </c>
      <c r="J40" s="1"/>
      <c r="K40" s="1"/>
      <c r="L40" s="1"/>
      <c r="M40" s="1"/>
      <c r="N40" s="1"/>
      <c r="O40" s="1"/>
      <c r="P40" s="1"/>
    </row>
    <row r="41" spans="1:16">
      <c r="A41" s="143" t="s">
        <v>264</v>
      </c>
      <c r="B41" s="143">
        <v>0.36</v>
      </c>
      <c r="C41" s="143" t="s">
        <v>257</v>
      </c>
      <c r="D41" s="1"/>
      <c r="E41" s="1"/>
      <c r="F41" s="1"/>
      <c r="G41" s="204"/>
      <c r="H41" s="204"/>
      <c r="I41" s="204"/>
      <c r="J41" s="1"/>
      <c r="K41" s="1"/>
      <c r="L41" s="1"/>
      <c r="M41" s="1"/>
      <c r="N41" s="1"/>
      <c r="O41" s="1"/>
      <c r="P41" s="1"/>
    </row>
    <row r="42" spans="1:16">
      <c r="A42" s="143" t="s">
        <v>265</v>
      </c>
      <c r="B42" s="143">
        <v>0.35</v>
      </c>
      <c r="C42" s="143" t="s">
        <v>257</v>
      </c>
      <c r="D42" s="1"/>
      <c r="E42" s="1"/>
      <c r="F42" s="1"/>
      <c r="G42" s="204"/>
      <c r="H42" s="204"/>
      <c r="I42" s="204"/>
      <c r="J42" s="1"/>
      <c r="K42" s="1"/>
      <c r="L42" s="1"/>
      <c r="M42" s="1"/>
      <c r="N42" s="1"/>
      <c r="O42" s="1"/>
      <c r="P42" s="1"/>
    </row>
    <row r="43" spans="1:1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>
      <c r="A44" s="147" t="s">
        <v>266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>
      <c r="A45" s="143" t="s">
        <v>202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>
      <c r="A46" s="143" t="s">
        <v>162</v>
      </c>
      <c r="B46" s="1"/>
      <c r="C46" s="1"/>
      <c r="D46" s="1"/>
      <c r="E46" s="1"/>
      <c r="F46" s="1"/>
      <c r="G46" s="192" t="s">
        <v>267</v>
      </c>
      <c r="H46" s="1"/>
      <c r="I46" s="1"/>
      <c r="J46" s="1"/>
      <c r="K46" s="1"/>
      <c r="L46" s="1"/>
      <c r="M46" s="1"/>
      <c r="N46" s="1"/>
      <c r="O46" s="1"/>
      <c r="P46" s="1"/>
    </row>
    <row r="47" spans="1:16">
      <c r="A47" s="143" t="s">
        <v>268</v>
      </c>
      <c r="B47" s="143">
        <v>0.12</v>
      </c>
      <c r="C47" s="143" t="s">
        <v>257</v>
      </c>
      <c r="D47" s="1"/>
      <c r="E47" s="1"/>
      <c r="F47" s="1"/>
      <c r="G47" s="192" t="s">
        <v>173</v>
      </c>
      <c r="H47" s="1"/>
      <c r="I47" s="1"/>
      <c r="J47" s="1"/>
      <c r="K47" s="1"/>
      <c r="L47" s="1"/>
      <c r="M47" s="1"/>
      <c r="N47" s="1"/>
      <c r="O47" s="1"/>
      <c r="P47" s="1"/>
    </row>
    <row r="48" spans="1:16">
      <c r="A48" s="143" t="s">
        <v>269</v>
      </c>
      <c r="B48" s="143">
        <v>0.18</v>
      </c>
      <c r="C48" s="143" t="s">
        <v>257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>
      <c r="A49" s="143" t="s">
        <v>270</v>
      </c>
      <c r="B49" s="143">
        <v>7.1999999999999995E-2</v>
      </c>
      <c r="C49" s="143" t="s">
        <v>257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>
      <c r="A50" s="143" t="s">
        <v>271</v>
      </c>
      <c r="B50" s="143">
        <v>6.6000000000000003E-2</v>
      </c>
      <c r="C50" s="143" t="s">
        <v>257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>
      <c r="A51" s="143" t="s">
        <v>272</v>
      </c>
      <c r="B51" s="143">
        <v>3.3000000000000002E-2</v>
      </c>
      <c r="C51" s="143" t="s">
        <v>257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>
      <c r="A52" s="143" t="s">
        <v>273</v>
      </c>
      <c r="B52" s="143">
        <v>2.4199999999999999E-2</v>
      </c>
      <c r="C52" s="143" t="s">
        <v>257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</sheetData>
  <sheetProtection algorithmName="SHA-512" hashValue="FtsAFAqKf4g2NUNXBfSuEYLt8z7SAAbWT2CcKi63w9qDWKoCfnobzbiM56eUmAME2JrkXcJ4ES4q7r7s6sQQ2Q==" saltValue="q6Y0zquf91NzrgbgPpjmdg==" spinCount="100000" sheet="1" objects="1" scenarios="1"/>
  <mergeCells count="7">
    <mergeCell ref="D12:G12"/>
    <mergeCell ref="B2:C2"/>
    <mergeCell ref="D2:E2"/>
    <mergeCell ref="K12:L12"/>
    <mergeCell ref="N12:O12"/>
    <mergeCell ref="H2:I2"/>
    <mergeCell ref="J2:K2"/>
  </mergeCells>
  <phoneticPr fontId="59" type="noConversion"/>
  <pageMargins left="0.7" right="0.7" top="0.78740157499999996" bottom="0.78740157499999996" header="0.3" footer="0.3"/>
  <ignoredErrors>
    <ignoredError sqref="A4:A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9B50-28A0-40BE-8FA2-BABA0CE45575}">
  <dimension ref="A1:K68"/>
  <sheetViews>
    <sheetView workbookViewId="0">
      <selection activeCell="B27" sqref="B27"/>
    </sheetView>
  </sheetViews>
  <sheetFormatPr baseColWidth="10" defaultColWidth="11.453125" defaultRowHeight="14.5"/>
  <cols>
    <col min="1" max="1" width="15.26953125" customWidth="1"/>
    <col min="2" max="2" width="12.7265625" customWidth="1"/>
    <col min="3" max="3" width="10.81640625" customWidth="1"/>
    <col min="6" max="6" width="6.7265625" customWidth="1"/>
    <col min="7" max="7" width="13.26953125" customWidth="1"/>
    <col min="8" max="8" width="12.26953125" customWidth="1"/>
  </cols>
  <sheetData>
    <row r="1" spans="1:11" ht="23.5">
      <c r="A1" s="293" t="s">
        <v>274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294" t="s">
        <v>275</v>
      </c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294" t="s">
        <v>276</v>
      </c>
      <c r="G18" s="1" t="s">
        <v>277</v>
      </c>
      <c r="H18" s="1" t="s">
        <v>278</v>
      </c>
      <c r="I18" s="1" t="s">
        <v>279</v>
      </c>
      <c r="J18" s="295">
        <v>0.83</v>
      </c>
      <c r="K18" s="1"/>
    </row>
    <row r="19" spans="1:11">
      <c r="A19" s="1"/>
      <c r="B19" s="1"/>
      <c r="C19" s="1"/>
      <c r="D19" s="1"/>
      <c r="E19" s="1"/>
      <c r="F19" s="1"/>
      <c r="G19" s="1" t="s">
        <v>277</v>
      </c>
      <c r="H19" s="1" t="s">
        <v>280</v>
      </c>
      <c r="I19" s="1" t="s">
        <v>279</v>
      </c>
      <c r="J19" s="295">
        <v>0.9</v>
      </c>
      <c r="K19" s="1"/>
    </row>
    <row r="20" spans="1:11">
      <c r="A20" s="1"/>
      <c r="B20" s="1"/>
      <c r="C20" s="1"/>
      <c r="D20" s="1"/>
      <c r="E20" s="1"/>
      <c r="F20" s="1"/>
      <c r="G20" s="202">
        <f>VLOOKUP(B27,H18:J19,3,FALSE)</f>
        <v>0.83</v>
      </c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6.5">
      <c r="A22" s="284" t="s">
        <v>281</v>
      </c>
      <c r="B22" s="327">
        <v>150</v>
      </c>
      <c r="C22" s="285" t="s">
        <v>93</v>
      </c>
      <c r="D22" s="1"/>
      <c r="E22" s="1"/>
      <c r="F22" s="1"/>
      <c r="G22" s="1"/>
      <c r="H22" s="1"/>
      <c r="I22" s="1"/>
      <c r="J22" s="1"/>
      <c r="K22" s="1"/>
    </row>
    <row r="23" spans="1:11" ht="16.5">
      <c r="A23" s="284" t="s">
        <v>282</v>
      </c>
      <c r="B23" s="327">
        <v>300</v>
      </c>
      <c r="C23" s="285" t="s">
        <v>93</v>
      </c>
      <c r="D23" s="1"/>
      <c r="E23" s="1"/>
      <c r="F23" s="1"/>
      <c r="G23" s="1"/>
      <c r="H23" s="1"/>
      <c r="I23" s="1"/>
      <c r="J23" s="1"/>
      <c r="K23" s="1"/>
    </row>
    <row r="24" spans="1:11" ht="17.5">
      <c r="A24" s="284" t="s">
        <v>283</v>
      </c>
      <c r="B24" s="327">
        <v>5000</v>
      </c>
      <c r="C24" s="285" t="s">
        <v>284</v>
      </c>
      <c r="D24" s="298" t="s">
        <v>285</v>
      </c>
      <c r="E24" s="1"/>
      <c r="F24" s="1"/>
      <c r="G24" s="1"/>
      <c r="H24" s="1"/>
      <c r="I24" s="1"/>
      <c r="J24" s="1"/>
      <c r="K24" s="1"/>
    </row>
    <row r="25" spans="1:11" ht="17.5">
      <c r="A25" s="284" t="s">
        <v>286</v>
      </c>
      <c r="B25" s="327">
        <v>10000</v>
      </c>
      <c r="C25" s="285" t="s">
        <v>284</v>
      </c>
      <c r="D25" s="298" t="s">
        <v>287</v>
      </c>
      <c r="E25" s="1"/>
      <c r="F25" s="1"/>
      <c r="G25" s="1"/>
      <c r="H25" s="1"/>
      <c r="I25" s="1"/>
      <c r="J25" s="1"/>
      <c r="K25" s="1"/>
    </row>
    <row r="26" spans="1:11" ht="17.5">
      <c r="A26" s="284" t="s">
        <v>288</v>
      </c>
      <c r="B26" s="327">
        <v>120</v>
      </c>
      <c r="C26" s="285" t="s">
        <v>284</v>
      </c>
      <c r="D26" s="298" t="s">
        <v>289</v>
      </c>
      <c r="E26" s="1"/>
      <c r="F26" s="1"/>
      <c r="G26" s="1"/>
      <c r="H26" s="1"/>
      <c r="I26" s="1"/>
      <c r="J26" s="1"/>
      <c r="K26" s="1"/>
    </row>
    <row r="27" spans="1:11">
      <c r="A27" s="286" t="s">
        <v>290</v>
      </c>
      <c r="B27" s="289" t="s">
        <v>278</v>
      </c>
      <c r="C27" s="285" t="s">
        <v>291</v>
      </c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5.5">
      <c r="A29" s="286" t="s">
        <v>292</v>
      </c>
      <c r="B29" s="287">
        <f>0.83*B22*(B24/B26)^(1/3)+G20*B23*(B25/B26)^(1/3)</f>
        <v>1519.2250718799621</v>
      </c>
      <c r="C29" s="285" t="s">
        <v>93</v>
      </c>
      <c r="D29" s="1"/>
      <c r="E29" s="1"/>
      <c r="F29" s="1"/>
      <c r="G29" s="1"/>
      <c r="H29" s="1"/>
      <c r="I29" s="1"/>
      <c r="J29" s="1"/>
      <c r="K29" s="1"/>
    </row>
    <row r="30" spans="1:11" ht="16.5">
      <c r="A30" s="288" t="s">
        <v>293</v>
      </c>
      <c r="B30" s="297">
        <f>B26/B29</f>
        <v>7.8987637988034404E-2</v>
      </c>
      <c r="C30" s="285" t="s">
        <v>294</v>
      </c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 t="s">
        <v>295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23.5">
      <c r="A42" s="293" t="s">
        <v>296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8.5">
      <c r="A56" s="296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8.5">
      <c r="A62" s="296" t="s">
        <v>295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</sheetData>
  <sheetProtection algorithmName="SHA-512" hashValue="/ZOjeNJf4Xj330GmO1X1hBnBMqkXGTMD8BwWXUVZ8AgW7tw2ibD3wNl4fO6IQk3L83uIALErKu2uvif5eWnAkA==" saltValue="TlC/6UYvm/jXxJwSbSPniA==" spinCount="100000" sheet="1" objects="1" selectLockedCells="1"/>
  <conditionalFormatting sqref="B27">
    <cfRule type="containsText" dxfId="2" priority="1" operator="containsText" text="hydraulischen">
      <formula>NOT(ISERROR(SEARCH("hydraulischen",B27)))</formula>
    </cfRule>
    <cfRule type="containsText" dxfId="1" priority="2" operator="containsText" text="bituminösem">
      <formula>NOT(ISERROR(SEARCH("bituminösem",B27)))</formula>
    </cfRule>
    <cfRule type="expression" dxfId="0" priority="3">
      <formula>$H$7&gt;0</formula>
    </cfRule>
  </conditionalFormatting>
  <dataValidations count="1">
    <dataValidation type="list" allowBlank="1" showInputMessage="1" showErrorMessage="1" sqref="B27" xr:uid="{F05FFCD2-2055-4FDA-90CE-52CAC3BE4FC8}">
      <formula1>$H$18:$H$19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A4CE4-F6BA-42B8-8349-16756E1259EC}">
  <dimension ref="A1:J27"/>
  <sheetViews>
    <sheetView workbookViewId="0">
      <selection activeCell="F18" sqref="F18"/>
    </sheetView>
  </sheetViews>
  <sheetFormatPr baseColWidth="10" defaultColWidth="11.453125" defaultRowHeight="14.5"/>
  <cols>
    <col min="4" max="4" width="12.26953125" customWidth="1"/>
    <col min="5" max="5" width="4.726562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>
      <c r="A2" s="1" t="s">
        <v>297</v>
      </c>
      <c r="B2" s="1"/>
      <c r="C2" s="1"/>
      <c r="D2" s="1"/>
      <c r="E2" s="1"/>
      <c r="F2" s="1"/>
      <c r="G2" s="1"/>
      <c r="H2" s="1"/>
      <c r="I2" s="1"/>
      <c r="J2" s="1"/>
    </row>
    <row r="3" spans="1:10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16.5">
      <c r="A18" s="367" t="s">
        <v>298</v>
      </c>
      <c r="B18" s="367"/>
      <c r="C18" s="367"/>
      <c r="D18" s="367"/>
      <c r="E18" s="325" t="s">
        <v>293</v>
      </c>
      <c r="F18" s="326">
        <v>0.1</v>
      </c>
      <c r="G18" s="1" t="s">
        <v>294</v>
      </c>
      <c r="H18" s="1"/>
      <c r="I18" s="1"/>
      <c r="J18" s="1"/>
    </row>
    <row r="19" spans="1:10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</sheetData>
  <sheetProtection algorithmName="SHA-512" hashValue="E8cXha9jDffyzWuRSx67Iqya/h6vl/F1tgsNE6XEckC3ax9prWl+q8emRvUCS3/l+4di6gTNC5Bu1H+HvEYg6w==" saltValue="DCwHz3DvmOon+JPwyF8VGw==" spinCount="100000" sheet="1" objects="1" scenarios="1" selectLockedCells="1"/>
  <mergeCells count="1">
    <mergeCell ref="A18:D18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dcbd492c-4feb-4e6a-95b4-9158567d1fce" xsi:nil="true"/>
    <Projekt xmlns="dcbd492c-4feb-4e6a-95b4-9158567d1fce">
      <Value>P4</Value>
    </Projekt>
    <Sprache xmlns="dcbd492c-4feb-4e6a-95b4-9158567d1fce" xsi:nil="true"/>
    <Format xmlns="dcbd492c-4feb-4e6a-95b4-9158567d1fce" xsi:nil="true"/>
    <Status xmlns="dcbd492c-4feb-4e6a-95b4-9158567d1fce">
      <Value>an BAV abgegeben</Value>
    </Status>
    <Version_x002f_Aktualisierung xmlns="dcbd492c-4feb-4e6a-95b4-9158567d1fce" xsi:nil="true"/>
    <Referenznummer xmlns="dcbd492c-4feb-4e6a-95b4-9158567d1fce">90008</Referenznummer>
    <TypdesInhalts xmlns="dcbd492c-4feb-4e6a-95b4-9158567d1fce" xsi:nil="true"/>
    <Dokumentendatum xmlns="dcbd492c-4feb-4e6a-95b4-9158567d1fce" xsi:nil="true"/>
    <_x00d6_ffentlichkeitsgrad xmlns="dcbd492c-4feb-4e6a-95b4-9158567d1fce" xsi:nil="true"/>
    <Fachgebiete xmlns="dcbd492c-4feb-4e6a-95b4-9158567d1fce" xsi:nil="true"/>
    <Lieferobjekt xmlns="dcbd492c-4feb-4e6a-95b4-9158567d1fce">LO 1.2</Lieferobjekt>
    <_x00dc_bersetzungvorhanden xmlns="dcbd492c-4feb-4e6a-95b4-9158567d1fce" xsi:nil="true"/>
    <IDvon_x00dc_bersetzungbzw_x002e_IDvonOriginal xmlns="dcbd492c-4feb-4e6a-95b4-9158567d1fce" xsi:nil="true"/>
    <Begr_x00fc_ndung_x00dc_bersetzung xmlns="dcbd492c-4feb-4e6a-95b4-9158567d1fc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B511EFA62FAC4C89A137254399AFE5" ma:contentTypeVersion="20" ma:contentTypeDescription="Ein neues Dokument erstellen." ma:contentTypeScope="" ma:versionID="e8955b4458af23aef31cc5736c62435b">
  <xsd:schema xmlns:xsd="http://www.w3.org/2001/XMLSchema" xmlns:xs="http://www.w3.org/2001/XMLSchema" xmlns:p="http://schemas.microsoft.com/office/2006/metadata/properties" xmlns:ns2="dcbd492c-4feb-4e6a-95b4-9158567d1fce" targetNamespace="http://schemas.microsoft.com/office/2006/metadata/properties" ma:root="true" ma:fieldsID="a171c4993beac6f0ad1988c97b11a293" ns2:_="">
    <xsd:import namespace="dcbd492c-4feb-4e6a-95b4-9158567d1fce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Sprach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Projekt" minOccurs="0"/>
                <xsd:element ref="ns2:Referenznummer" minOccurs="0"/>
                <xsd:element ref="ns2:TypdesInhalts" minOccurs="0"/>
                <xsd:element ref="ns2:Dokumentendatum" minOccurs="0"/>
                <xsd:element ref="ns2:Version_x002f_Aktualisierung" minOccurs="0"/>
                <xsd:element ref="ns2:Format" minOccurs="0"/>
                <xsd:element ref="ns2:_x00d6_ffentlichkeitsgrad" minOccurs="0"/>
                <xsd:element ref="ns2:Fachgebiete" minOccurs="0"/>
                <xsd:element ref="ns2:Status" minOccurs="0"/>
                <xsd:element ref="ns2:Lieferobjekt" minOccurs="0"/>
                <xsd:element ref="ns2:MediaServiceSearchProperties" minOccurs="0"/>
                <xsd:element ref="ns2:_x00dc_bersetzungvorhanden" minOccurs="0"/>
                <xsd:element ref="ns2:Begr_x00fc_ndung_x00dc_bersetzung" minOccurs="0"/>
                <xsd:element ref="ns2:IDvon_x00dc_bersetzungbzw_x002e_IDvonOrigin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d492c-4feb-4e6a-95b4-9158567d1fce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format="Dropdown" ma:internalName="Autor">
      <xsd:simpleType>
        <xsd:restriction base="dms:Text">
          <xsd:maxLength value="255"/>
        </xsd:restriction>
      </xsd:simpleType>
    </xsd:element>
    <xsd:element name="Sprache" ma:index="9" nillable="true" ma:displayName="Sprache" ma:format="Dropdown" ma:internalName="Sprache">
      <xsd:simpleType>
        <xsd:restriction base="dms:Choice">
          <xsd:enumeration value="Deutsch"/>
          <xsd:enumeration value="Französisch"/>
          <xsd:enumeration value="Englisch"/>
          <xsd:enumeration value="Italienisch"/>
          <xsd:enumeration value="Auswahl 5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rojekt" ma:index="13" nillable="true" ma:displayName="Projekt" ma:format="Dropdown" ma:internalName="Projekt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1"/>
                    <xsd:enumeration value="P2"/>
                    <xsd:enumeration value="P3"/>
                    <xsd:enumeration value="P4"/>
                    <xsd:enumeration value="P5"/>
                    <xsd:enumeration value="P6"/>
                    <xsd:enumeration value="P7"/>
                    <xsd:enumeration value="P8"/>
                    <xsd:enumeration value="Systemführerschaft"/>
                    <xsd:enumeration value="Finanzen"/>
                    <xsd:enumeration value="ViF"/>
                  </xsd:restriction>
                </xsd:simpleType>
              </xsd:element>
            </xsd:sequence>
          </xsd:extension>
        </xsd:complexContent>
      </xsd:complexType>
    </xsd:element>
    <xsd:element name="Referenznummer" ma:index="14" nillable="true" ma:displayName="Referenznummer" ma:format="Dropdown" ma:internalName="Referenznummer">
      <xsd:simpleType>
        <xsd:restriction base="dms:Text">
          <xsd:maxLength value="255"/>
        </xsd:restriction>
      </xsd:simpleType>
    </xsd:element>
    <xsd:element name="TypdesInhalts" ma:index="15" nillable="true" ma:displayName="Typ des Inhalts" ma:default="Technischer Bericht" ma:format="Dropdown" ma:internalName="TypdesInhalt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echnischer Bericht"/>
                    <xsd:enumeration value="Grundlagenwissen"/>
                    <xsd:enumeration value="Neue Erkenntnisse"/>
                    <xsd:enumeration value="Berichtserstattung"/>
                    <xsd:enumeration value="Spezifikation"/>
                    <xsd:enumeration value="Onepager"/>
                    <xsd:enumeration value="Übersetztes Management Summary"/>
                    <xsd:enumeration value="Grundlagen RTE"/>
                    <xsd:enumeration value="Schulungsunterlagen"/>
                  </xsd:restriction>
                </xsd:simpleType>
              </xsd:element>
            </xsd:sequence>
          </xsd:extension>
        </xsd:complexContent>
      </xsd:complexType>
    </xsd:element>
    <xsd:element name="Dokumentendatum" ma:index="16" nillable="true" ma:displayName="Dokumentendatum" ma:format="DateOnly" ma:internalName="Dokumentendatum">
      <xsd:simpleType>
        <xsd:restriction base="dms:DateTime"/>
      </xsd:simpleType>
    </xsd:element>
    <xsd:element name="Version_x002f_Aktualisierung" ma:index="17" nillable="true" ma:displayName="Version / Aktualisierung" ma:format="Dropdown" ma:internalName="Version_x002f_Aktualisierung">
      <xsd:simpleType>
        <xsd:restriction base="dms:Text">
          <xsd:maxLength value="255"/>
        </xsd:restriction>
      </xsd:simpleType>
    </xsd:element>
    <xsd:element name="Format" ma:index="18" nillable="true" ma:displayName="Format" ma:format="Dropdown" ma:internalName="Format">
      <xsd:simpleType>
        <xsd:restriction base="dms:Choice">
          <xsd:enumeration value="Text - PDF"/>
          <xsd:enumeration value="Präsentation- PDF"/>
          <xsd:enumeration value="Berechnungstabelle"/>
          <xsd:enumeration value="Datenbank"/>
          <xsd:enumeration value="Software"/>
          <xsd:enumeration value="Onepager - PDF"/>
          <xsd:enumeration value="Text - Word"/>
          <xsd:enumeration value="Auswahl 8"/>
        </xsd:restriction>
      </xsd:simpleType>
    </xsd:element>
    <xsd:element name="_x00d6_ffentlichkeitsgrad" ma:index="19" nillable="true" ma:displayName="Öffentlichkeitsgrad" ma:format="Dropdown" ma:internalName="_x00d6_ffentlichkeitsgrad">
      <xsd:simpleType>
        <xsd:restriction base="dms:Choice">
          <xsd:enumeration value="Öffentlich"/>
          <xsd:enumeration value="Nur RAILplus - Mitglieder"/>
          <xsd:enumeration value="Nur Systemführerschaft"/>
          <xsd:enumeration value="Nur Projekt-Mitarbeitende"/>
          <xsd:enumeration value="Vertraulich"/>
        </xsd:restriction>
      </xsd:simpleType>
    </xsd:element>
    <xsd:element name="Fachgebiete" ma:index="20" nillable="true" ma:displayName="Fachgebiete" ma:format="Dropdown" ma:internalName="Fachgebiet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ahrbahn"/>
                    <xsd:enumeration value="Fahrzeuge"/>
                    <xsd:enumeration value="Lauftechnik"/>
                    <xsd:enumeration value="SKK"/>
                    <xsd:enumeration value="SKS"/>
                    <xsd:enumeration value="Konstruktion"/>
                    <xsd:enumeration value="Berechnung"/>
                    <xsd:enumeration value="Versuch"/>
                    <xsd:enumeration value="Rad-Schienenkontakt"/>
                    <xsd:enumeration value="Schäden Schiene"/>
                    <xsd:enumeration value="Schäden Fahrzeuge"/>
                    <xsd:enumeration value="MGB"/>
                    <xsd:enumeration value="RBS"/>
                    <xsd:enumeration value="ZB"/>
                    <xsd:enumeration value="AVA"/>
                    <xsd:enumeration value="MOB"/>
                    <xsd:enumeration value="TMR"/>
                    <xsd:enumeration value="Administration"/>
                  </xsd:restriction>
                </xsd:simpleType>
              </xsd:element>
            </xsd:sequence>
          </xsd:extension>
        </xsd:complexContent>
      </xsd:complexType>
    </xsd:element>
    <xsd:element name="Status" ma:index="21" nillable="true" ma:displayName="Status" ma:format="Dropdown" ma:internalName="Statu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 BAV abgegeben"/>
                    <xsd:enumeration value="veröffentlicht"/>
                    <xsd:enumeration value="Wird nicht an BAV abgegeben"/>
                    <xsd:enumeration value="wird nicht veröffentlich"/>
                    <xsd:enumeration value="Veröffentlichung via VöV"/>
                    <xsd:enumeration value="veröffentlicht Intranet"/>
                    <xsd:enumeration value="Auswahl 7"/>
                  </xsd:restriction>
                </xsd:simpleType>
              </xsd:element>
            </xsd:sequence>
          </xsd:extension>
        </xsd:complexContent>
      </xsd:complexType>
    </xsd:element>
    <xsd:element name="Lieferobjekt" ma:index="22" nillable="true" ma:displayName="Lieferobjekt" ma:format="Dropdown" ma:internalName="Lieferobjekt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dc_bersetzungvorhanden" ma:index="24" nillable="true" ma:displayName="Übersetzung vorhanden" ma:format="Dropdown" ma:internalName="_x00dc_bersetzungvorhanden">
      <xsd:simpleType>
        <xsd:restriction base="dms:Choice">
          <xsd:enumeration value="Ja"/>
          <xsd:enumeration value="Nein"/>
          <xsd:enumeration value="ist Übersetzung"/>
          <xsd:enumeration value="Auswahl 4"/>
        </xsd:restriction>
      </xsd:simpleType>
    </xsd:element>
    <xsd:element name="Begr_x00fc_ndung_x00dc_bersetzung" ma:index="25" nillable="true" ma:displayName="Begründung Übersetzung" ma:format="Dropdown" ma:internalName="Begr_x00fc_ndung_x00dc_bersetzung">
      <xsd:simpleType>
        <xsd:restriction base="dms:Text">
          <xsd:maxLength value="255"/>
        </xsd:restriction>
      </xsd:simpleType>
    </xsd:element>
    <xsd:element name="IDvon_x00dc_bersetzungbzw_x002e_IDvonOriginal" ma:index="26" nillable="true" ma:displayName="ID von Übersetzung bzw. ID von Original" ma:format="Dropdown" ma:internalName="IDvon_x00dc_bersetzungbzw_x002e_IDvonOriginal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B1D3CE-A560-476C-BDA4-F13B0B3750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1E8F7C-9FD2-4FB3-9387-D9EB933EB94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cbd492c-4feb-4e6a-95b4-9158567d1f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9602546-13ED-440D-A4A7-732231CD61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bd492c-4feb-4e6a-95b4-9158567d1f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103</vt:i4>
      </vt:variant>
    </vt:vector>
  </HeadingPairs>
  <TitlesOfParts>
    <vt:vector size="109" baseType="lpstr">
      <vt:lpstr>Schotteroberbau_L</vt:lpstr>
      <vt:lpstr>Schotteroberbau</vt:lpstr>
      <vt:lpstr>Feste Fahrbahn</vt:lpstr>
      <vt:lpstr>Komponenten</vt:lpstr>
      <vt:lpstr>Odemark - ja </vt:lpstr>
      <vt:lpstr>Odemark - nein</vt:lpstr>
      <vt:lpstr>a</vt:lpstr>
      <vt:lpstr>a_2</vt:lpstr>
      <vt:lpstr>A_Besohlung</vt:lpstr>
      <vt:lpstr>A_Besohlung_2</vt:lpstr>
      <vt:lpstr>A_Schotter</vt:lpstr>
      <vt:lpstr>A_Schotter_2</vt:lpstr>
      <vt:lpstr>Achsabstand_1_2</vt:lpstr>
      <vt:lpstr>Achsabstand_2_3</vt:lpstr>
      <vt:lpstr>Achsabstand_3_4</vt:lpstr>
      <vt:lpstr>Achslast_1</vt:lpstr>
      <vt:lpstr>Achslast_1_2</vt:lpstr>
      <vt:lpstr>Achslast_2</vt:lpstr>
      <vt:lpstr>Achslast_2_2</vt:lpstr>
      <vt:lpstr>Achslast_3</vt:lpstr>
      <vt:lpstr>Achslast_4</vt:lpstr>
      <vt:lpstr>aLast</vt:lpstr>
      <vt:lpstr>aLast_2</vt:lpstr>
      <vt:lpstr>ASchwelle</vt:lpstr>
      <vt:lpstr>ASchwelle_2</vt:lpstr>
      <vt:lpstr>AUntergrund</vt:lpstr>
      <vt:lpstr>AUntergrund_2</vt:lpstr>
      <vt:lpstr>AUSM</vt:lpstr>
      <vt:lpstr>AUSM_2</vt:lpstr>
      <vt:lpstr>BSchwelle</vt:lpstr>
      <vt:lpstr>BSchwelle_2</vt:lpstr>
      <vt:lpstr>c_Besohlung</vt:lpstr>
      <vt:lpstr>c_Besohlung_2</vt:lpstr>
      <vt:lpstr>cSchotter</vt:lpstr>
      <vt:lpstr>cSchotter_2</vt:lpstr>
      <vt:lpstr>cUntergrund</vt:lpstr>
      <vt:lpstr>cUntergrund_2</vt:lpstr>
      <vt:lpstr>cUSM</vt:lpstr>
      <vt:lpstr>cUSM_2</vt:lpstr>
      <vt:lpstr>d_Schotter</vt:lpstr>
      <vt:lpstr>d_Schotter_2</vt:lpstr>
      <vt:lpstr>Schotteroberbau!Druckbereich</vt:lpstr>
      <vt:lpstr>Schotteroberbau_L!Druckbereich</vt:lpstr>
      <vt:lpstr>Dx</vt:lpstr>
      <vt:lpstr>ESchiene</vt:lpstr>
      <vt:lpstr>ESchiene_1</vt:lpstr>
      <vt:lpstr>ESchiene_2</vt:lpstr>
      <vt:lpstr>Faktor_Oberbauzustand</vt:lpstr>
      <vt:lpstr>Faktor_Oberbauzustand_2</vt:lpstr>
      <vt:lpstr>Faktor_Radkraftverlagerung</vt:lpstr>
      <vt:lpstr>Faktor_Radkraftverlagerung_2</vt:lpstr>
      <vt:lpstr>fGüterzüge</vt:lpstr>
      <vt:lpstr>fGüterzüge_2</vt:lpstr>
      <vt:lpstr>fPersonenzüge</vt:lpstr>
      <vt:lpstr>fPersonenzüge_2</vt:lpstr>
      <vt:lpstr>ISchiene</vt:lpstr>
      <vt:lpstr>ISchiene_1</vt:lpstr>
      <vt:lpstr>ISchiene_2</vt:lpstr>
      <vt:lpstr>k_zw</vt:lpstr>
      <vt:lpstr>k_zw_2</vt:lpstr>
      <vt:lpstr>k_zw2</vt:lpstr>
      <vt:lpstr>kBesohlung</vt:lpstr>
      <vt:lpstr>kBesohlung_2</vt:lpstr>
      <vt:lpstr>kd</vt:lpstr>
      <vt:lpstr>kd_2</vt:lpstr>
      <vt:lpstr>kq</vt:lpstr>
      <vt:lpstr>kq_2</vt:lpstr>
      <vt:lpstr>kSchotter</vt:lpstr>
      <vt:lpstr>kSchotter_2</vt:lpstr>
      <vt:lpstr>ktot</vt:lpstr>
      <vt:lpstr>ktot_2</vt:lpstr>
      <vt:lpstr>kUntergrund</vt:lpstr>
      <vt:lpstr>kUntergrund_2</vt:lpstr>
      <vt:lpstr>kUSM</vt:lpstr>
      <vt:lpstr>kUSM_2</vt:lpstr>
      <vt:lpstr>Lelastisch</vt:lpstr>
      <vt:lpstr>Lelastisch_1</vt:lpstr>
      <vt:lpstr>Lelastisch_2</vt:lpstr>
      <vt:lpstr>LFahrzeug</vt:lpstr>
      <vt:lpstr>LFrei</vt:lpstr>
      <vt:lpstr>LFrei_2</vt:lpstr>
      <vt:lpstr>LSchiene</vt:lpstr>
      <vt:lpstr>LSchwelle</vt:lpstr>
      <vt:lpstr>LSchwelle_2</vt:lpstr>
      <vt:lpstr>Schotteroberbau!maximale_Einsenkung</vt:lpstr>
      <vt:lpstr>Schotteroberbau_L!maximale_Einsenkung</vt:lpstr>
      <vt:lpstr>maximale_Einsenkung_2</vt:lpstr>
      <vt:lpstr>Maximales_Biegemoment__charakteristisch</vt:lpstr>
      <vt:lpstr>Maximales_Biegemoment__charakteristisch_2</vt:lpstr>
      <vt:lpstr>maxStützpunktkraft</vt:lpstr>
      <vt:lpstr>maxStützpunktkraft_2</vt:lpstr>
      <vt:lpstr>sD._DmaxsDmax_zul_Wenty_SchoF</vt:lpstr>
      <vt:lpstr>sDmax_Güter_Wenty_SchoF</vt:lpstr>
      <vt:lpstr>sDmax_Pers_Wenty_SchoF</vt:lpstr>
      <vt:lpstr>sDzul.max_SchoF</vt:lpstr>
      <vt:lpstr>Sicherheit_ABEBV_Wenty_SchoF</vt:lpstr>
      <vt:lpstr>Sicherheitsfaktor_AB_EBV_2020_SchoF</vt:lpstr>
      <vt:lpstr>VGüterzüge</vt:lpstr>
      <vt:lpstr>Vgüterzüge_2</vt:lpstr>
      <vt:lpstr>VReisezüge</vt:lpstr>
      <vt:lpstr>Vreisezüge_2</vt:lpstr>
      <vt:lpstr>WSchiene</vt:lpstr>
      <vt:lpstr>WSchiene_1</vt:lpstr>
      <vt:lpstr>WSchiene_2</vt:lpstr>
      <vt:lpstr>x_1</vt:lpstr>
      <vt:lpstr>x_2</vt:lpstr>
      <vt:lpstr>x_3</vt:lpstr>
      <vt:lpstr>x0</vt:lpstr>
      <vt:lpstr>x4_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 Werner</dc:creator>
  <cp:keywords/>
  <dc:description/>
  <cp:lastModifiedBy>Fabienne Buser</cp:lastModifiedBy>
  <cp:revision/>
  <dcterms:created xsi:type="dcterms:W3CDTF">2020-03-18T14:35:20Z</dcterms:created>
  <dcterms:modified xsi:type="dcterms:W3CDTF">2026-06-25T14:33:15Z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0x0101003BB511EFA62FAC4C89A137254399AFE5</vt:lpwstr>
  </property>
  <property fmtid="{D5CDD505-2E9C-101B-9397-08002B2CF9AE}" pid="3" name="MediaServiceImageTags">
    <vt:lpwstr/>
  </property>
  <property fmtid="{D5CDD505-2E9C-101B-9397-08002B2CF9AE}" pid="4" name="Order">
    <vt:r8>1114100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Projekt">
    <vt:lpwstr>;#P7 - Allg;#P4 - Fahrbahn;#</vt:lpwstr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